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never" codeName="ThisWorkbook" defaultThemeVersion="166925"/>
  <mc:AlternateContent xmlns:mc="http://schemas.openxmlformats.org/markup-compatibility/2006">
    <mc:Choice Requires="x15">
      <x15ac:absPath xmlns:x15ac="http://schemas.microsoft.com/office/spreadsheetml/2010/11/ac" url="https://witshealth-my.sharepoint.com/personal/craig_parker_witsphr_org/Documents/PHR PC/Downloads/"/>
    </mc:Choice>
  </mc:AlternateContent>
  <xr:revisionPtr revIDLastSave="0" documentId="8_{EB06F75C-05F3-4188-A053-DBD3E860383B}" xr6:coauthVersionLast="47" xr6:coauthVersionMax="47" xr10:uidLastSave="{00000000-0000-0000-0000-000000000000}"/>
  <workbookProtection workbookAlgorithmName="SHA-512" workbookHashValue="KJMdUdkyuRlX8NI7KRKsHGDEDcbU2rh1VxEKcQpuorvY6g6NAjJz6HLQeMyyDXeLnHskAArugkX2KAQj7eRtww==" workbookSaltValue="sl2ckaRySuPDvlTdCvsE7w==" workbookSpinCount="100000" lockStructure="1"/>
  <bookViews>
    <workbookView xWindow="28680" yWindow="-120" windowWidth="29040" windowHeight="15720" firstSheet="12" activeTab="15" xr2:uid="{CFAEB680-4FE6-4FE4-8B67-BAE0E4E363A4}"/>
  </bookViews>
  <sheets>
    <sheet name="Cover Sheet" sheetId="12" r:id="rId1"/>
    <sheet name="Changes since last version" sheetId="50" r:id="rId2"/>
    <sheet name="$ Conversion" sheetId="28" r:id="rId3"/>
    <sheet name="Totals" sheetId="25" r:id="rId4"/>
    <sheet name="Supply Chain Totals" sheetId="43" r:id="rId5"/>
    <sheet name="Building Totals &amp; Benchmarking" sheetId="39" r:id="rId6"/>
    <sheet name="Error Checking" sheetId="48" r:id="rId7"/>
    <sheet name="Action Tracker" sheetId="49" r:id="rId8"/>
    <sheet name="Quickstart_T1" sheetId="46" r:id="rId9"/>
    <sheet name="Buildings" sheetId="1" r:id="rId10"/>
    <sheet name="Energy" sheetId="17" r:id="rId11"/>
    <sheet name="Vehicle-Fuel" sheetId="2" r:id="rId12"/>
    <sheet name="Vehicle-Distance" sheetId="27" r:id="rId13"/>
    <sheet name="Travel-Other vehicles" sheetId="23" r:id="rId14"/>
    <sheet name="Anaesthetic gases" sheetId="5" r:id="rId15"/>
    <sheet name="Refrigerant gases" sheetId="7" r:id="rId16"/>
    <sheet name="Water " sheetId="4" r:id="rId17"/>
    <sheet name="Waste" sheetId="3" r:id="rId18"/>
    <sheet name="Inhalers" sheetId="31" r:id="rId19"/>
    <sheet name="Contractor Logistics" sheetId="29" r:id="rId20"/>
    <sheet name="Construction materials" sheetId="10" r:id="rId21"/>
    <sheet name="Procurement_T2" sheetId="41" r:id="rId22"/>
    <sheet name="Procurement lookup" sheetId="42" state="hidden" r:id="rId23"/>
    <sheet name="T3 calcs" sheetId="45" state="hidden" r:id="rId24"/>
    <sheet name="Procurement_T3" sheetId="44" r:id="rId25"/>
    <sheet name="Spend mapping" sheetId="40" r:id="rId26"/>
    <sheet name="Carbon factors" sheetId="16" state="hidden" r:id="rId27"/>
    <sheet name="Fuel properties" sheetId="19" state="hidden" r:id="rId28"/>
    <sheet name="Anaesthetics properties" sheetId="22" state="hidden" r:id="rId29"/>
    <sheet name="Refrigerant properties" sheetId="30" state="hidden" r:id="rId30"/>
    <sheet name="Waste properties" sheetId="35" state="hidden" r:id="rId31"/>
    <sheet name="Inhaler properties" sheetId="33" state="hidden" r:id="rId32"/>
    <sheet name="Procurement properties_T1" sheetId="38" state="hidden" r:id="rId33"/>
    <sheet name="Unit Conversions" sheetId="20" state="hidden" r:id="rId34"/>
    <sheet name="Reference data" sheetId="18" state="hidden" r:id="rId35"/>
  </sheets>
  <definedNames>
    <definedName name="_xlnm._FilterDatabase" localSheetId="26" hidden="1">'Carbon factors'!$EG$6:$EK$46</definedName>
    <definedName name="_xlnm._FilterDatabase" localSheetId="31" hidden="1">'Inhaler properties'!$L$2:$V$11</definedName>
    <definedName name="_xlnm._FilterDatabase" localSheetId="32" hidden="1">'Procurement properties_T1'!$A$17:$P$228</definedName>
    <definedName name="_xlnm._FilterDatabase" localSheetId="4" hidden="1">'Supply Chain Totals'!$B$13:$C$39</definedName>
    <definedName name="_xlchart.v1.0" hidden="1">Procurement_T2!$A$13:$A$113</definedName>
    <definedName name="_xlchart.v1.1" hidden="1">Procurement_T2!$H$13:$H$113</definedName>
    <definedName name="DataValidationRange" localSheetId="14">'Anaesthetic gases'!$A$11:$A$54</definedName>
    <definedName name="DataValidationRange" localSheetId="20">'Construction materials'!$A$11:$A$60</definedName>
    <definedName name="DataValidationRange" localSheetId="10">Energy!$B$16:$B$46,Energy!$B$49:$B$78,Energy!$B$81:$B$110,Energy!$B$113:$B$142,Energy!$B$145:$B$174,Energy!$B$177:$B$226</definedName>
    <definedName name="DataValidationRange" localSheetId="18">Inhalers!$A$13:$A$106</definedName>
    <definedName name="DataValidationRange" localSheetId="15">'Refrigerant gases'!$A$12:$A$55</definedName>
    <definedName name="DataValidationRange" localSheetId="13">'Travel-Other vehicles'!$A$12:$A$59</definedName>
    <definedName name="DataValidationRange" localSheetId="12">'Vehicle-Distance'!$A$14:$A$61</definedName>
    <definedName name="DataValidationRange" localSheetId="11">'Vehicle-Fuel'!$A$13:$A$60</definedName>
    <definedName name="DataValidationRange" localSheetId="17">Waste!$A$17:$A$108</definedName>
    <definedName name="DataValidationRange" localSheetId="16">'Water '!$A$14:$A$57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 i="4" l="1"/>
  <c r="F59" i="23"/>
  <c r="F58" i="23"/>
  <c r="F57" i="23"/>
  <c r="F56" i="23"/>
  <c r="F55" i="23"/>
  <c r="F54" i="23"/>
  <c r="F53" i="23"/>
  <c r="F52" i="23"/>
  <c r="F51" i="23"/>
  <c r="F50" i="23"/>
  <c r="F49" i="23"/>
  <c r="F48" i="23"/>
  <c r="F47" i="23"/>
  <c r="F46" i="23"/>
  <c r="F45" i="23"/>
  <c r="F44" i="23"/>
  <c r="F43" i="23"/>
  <c r="F42" i="23"/>
  <c r="F41" i="23"/>
  <c r="F40" i="23"/>
  <c r="F39" i="23"/>
  <c r="F38" i="23"/>
  <c r="F37" i="23"/>
  <c r="F36" i="23"/>
  <c r="F35" i="23"/>
  <c r="F34" i="23"/>
  <c r="F33" i="23"/>
  <c r="F32" i="23"/>
  <c r="F31" i="23"/>
  <c r="F30" i="23"/>
  <c r="F29" i="23"/>
  <c r="F28" i="23"/>
  <c r="F27" i="23"/>
  <c r="F26" i="23"/>
  <c r="F25" i="23"/>
  <c r="F24" i="23"/>
  <c r="F23" i="23"/>
  <c r="F22" i="23"/>
  <c r="F21" i="23"/>
  <c r="F20" i="23"/>
  <c r="F19" i="23"/>
  <c r="F18" i="23"/>
  <c r="F17" i="23"/>
  <c r="F16" i="23"/>
  <c r="F15" i="23"/>
  <c r="F14" i="23"/>
  <c r="F13" i="23"/>
  <c r="F12" i="23"/>
  <c r="G78" i="17" l="1" a="1"/>
  <c r="G78" i="17" s="1"/>
  <c r="G77" i="17" a="1"/>
  <c r="G77" i="17" s="1"/>
  <c r="G76" i="17" a="1"/>
  <c r="G76" i="17" s="1"/>
  <c r="G75" i="17" a="1"/>
  <c r="G75" i="17" s="1"/>
  <c r="G74" i="17" a="1"/>
  <c r="G74" i="17" s="1"/>
  <c r="G73" i="17" a="1"/>
  <c r="G73" i="17" s="1"/>
  <c r="G72" i="17" a="1"/>
  <c r="G72" i="17" s="1"/>
  <c r="G71" i="17" a="1"/>
  <c r="G71" i="17" s="1"/>
  <c r="G70" i="17" a="1"/>
  <c r="G70" i="17" s="1"/>
  <c r="G69" i="17" a="1"/>
  <c r="G69" i="17" s="1"/>
  <c r="G68" i="17" a="1"/>
  <c r="G68" i="17" s="1"/>
  <c r="G67" i="17" a="1"/>
  <c r="G67" i="17" s="1"/>
  <c r="G66" i="17" a="1"/>
  <c r="G66" i="17" s="1"/>
  <c r="G65" i="17" a="1"/>
  <c r="G65" i="17" s="1"/>
  <c r="G64" i="17" a="1"/>
  <c r="G64" i="17" s="1"/>
  <c r="G63" i="17" a="1"/>
  <c r="G63" i="17" s="1"/>
  <c r="G62" i="17" a="1"/>
  <c r="G62" i="17" s="1"/>
  <c r="G61" i="17" a="1"/>
  <c r="G61" i="17" s="1"/>
  <c r="G60" i="17" a="1"/>
  <c r="G60" i="17" s="1"/>
  <c r="G59" i="17" a="1"/>
  <c r="G59" i="17" s="1"/>
  <c r="G58" i="17" a="1"/>
  <c r="G58" i="17" s="1"/>
  <c r="G57" i="17" a="1"/>
  <c r="G57" i="17" s="1"/>
  <c r="G56" i="17" a="1"/>
  <c r="G56" i="17" s="1"/>
  <c r="G55" i="17" a="1"/>
  <c r="G55" i="17" s="1"/>
  <c r="G54" i="17" a="1"/>
  <c r="G54" i="17" s="1"/>
  <c r="G53" i="17" a="1"/>
  <c r="G53" i="17" s="1"/>
  <c r="G52" i="17" a="1"/>
  <c r="G52" i="17" s="1"/>
  <c r="G51" i="17" a="1"/>
  <c r="G51" i="17" s="1"/>
  <c r="G50" i="17" a="1"/>
  <c r="G50" i="17" s="1"/>
  <c r="G49" i="17" a="1"/>
  <c r="G49" i="17" s="1"/>
  <c r="G46" i="17" a="1"/>
  <c r="G46" i="17" s="1"/>
  <c r="G45" i="17" a="1"/>
  <c r="G45" i="17" s="1"/>
  <c r="G44" i="17" a="1"/>
  <c r="G44" i="17" s="1"/>
  <c r="G43" i="17" a="1"/>
  <c r="G43" i="17" s="1"/>
  <c r="G42" i="17" a="1"/>
  <c r="G42" i="17" s="1"/>
  <c r="G41" i="17" a="1"/>
  <c r="G41" i="17" s="1"/>
  <c r="G40" i="17" a="1"/>
  <c r="G40" i="17" s="1"/>
  <c r="G39" i="17" a="1"/>
  <c r="G39" i="17" s="1"/>
  <c r="G38" i="17" a="1"/>
  <c r="G38" i="17" s="1"/>
  <c r="G37" i="17" a="1"/>
  <c r="G37" i="17" s="1"/>
  <c r="G36" i="17" a="1"/>
  <c r="G36" i="17" s="1"/>
  <c r="G35" i="17" a="1"/>
  <c r="G35" i="17" s="1"/>
  <c r="G34" i="17" a="1"/>
  <c r="G34" i="17" s="1"/>
  <c r="G33" i="17" a="1"/>
  <c r="G33" i="17" s="1"/>
  <c r="G32" i="17" a="1"/>
  <c r="G32" i="17" s="1"/>
  <c r="G31" i="17" a="1"/>
  <c r="G31" i="17" s="1"/>
  <c r="G30" i="17" a="1"/>
  <c r="G30" i="17" s="1"/>
  <c r="G29" i="17" a="1"/>
  <c r="G29" i="17" s="1"/>
  <c r="G28" i="17" a="1"/>
  <c r="G28" i="17" s="1"/>
  <c r="G27" i="17" a="1"/>
  <c r="G27" i="17" s="1"/>
  <c r="G26" i="17" a="1"/>
  <c r="G26" i="17" s="1"/>
  <c r="G25" i="17" a="1"/>
  <c r="G25" i="17" s="1"/>
  <c r="G24" i="17" a="1"/>
  <c r="G24" i="17" s="1"/>
  <c r="G23" i="17" a="1"/>
  <c r="G23" i="17" s="1"/>
  <c r="G22" i="17" a="1"/>
  <c r="G22" i="17" s="1"/>
  <c r="G21" i="17" a="1"/>
  <c r="G21" i="17" s="1"/>
  <c r="G20" i="17" a="1"/>
  <c r="G20" i="17" s="1"/>
  <c r="G19" i="17" a="1"/>
  <c r="G19" i="17" s="1"/>
  <c r="G18" i="17" a="1"/>
  <c r="G18" i="17" s="1"/>
  <c r="G17" i="17" a="1"/>
  <c r="G17" i="17" s="1"/>
  <c r="G16" i="17" a="1"/>
  <c r="G16" i="17" s="1"/>
  <c r="O15" i="25"/>
  <c r="P15" i="25"/>
  <c r="Q15" i="25"/>
  <c r="F6" i="40" l="1"/>
  <c r="C22" i="48" l="1"/>
  <c r="B22" i="48"/>
  <c r="B10" i="3"/>
  <c r="T108" i="3" l="1"/>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T42" i="3"/>
  <c r="T41" i="3"/>
  <c r="T40" i="3"/>
  <c r="T39" i="3"/>
  <c r="T38" i="3"/>
  <c r="T37" i="3"/>
  <c r="T36" i="3"/>
  <c r="T35" i="3"/>
  <c r="T34" i="3"/>
  <c r="T33" i="3"/>
  <c r="T32" i="3"/>
  <c r="T31" i="3"/>
  <c r="T30" i="3"/>
  <c r="T29" i="3"/>
  <c r="T28" i="3"/>
  <c r="T27" i="3"/>
  <c r="T26" i="3"/>
  <c r="T25" i="3"/>
  <c r="T24" i="3"/>
  <c r="T23" i="3"/>
  <c r="T22" i="3"/>
  <c r="T21" i="3"/>
  <c r="T20" i="3"/>
  <c r="T19" i="3"/>
  <c r="T18" i="3"/>
  <c r="T17" i="3"/>
  <c r="W114" i="17" l="1"/>
  <c r="V114" i="17"/>
  <c r="U114" i="17"/>
  <c r="W113" i="17"/>
  <c r="V113" i="17"/>
  <c r="U113" i="17"/>
  <c r="FL15" i="16"/>
  <c r="FL14" i="16"/>
  <c r="FL13" i="16"/>
  <c r="FL12" i="16"/>
  <c r="FL11" i="16"/>
  <c r="FL10" i="16"/>
  <c r="FL9" i="16"/>
  <c r="FL8" i="16"/>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4" i="2"/>
  <c r="Q15" i="2"/>
  <c r="T13" i="3" l="1"/>
  <c r="Q106" i="31"/>
  <c r="P106" i="31"/>
  <c r="Q105" i="31"/>
  <c r="P105" i="31"/>
  <c r="Q104" i="31"/>
  <c r="P104" i="31"/>
  <c r="Q103" i="31"/>
  <c r="P103" i="31"/>
  <c r="Q102" i="31"/>
  <c r="P102" i="31"/>
  <c r="Q101" i="31"/>
  <c r="P101" i="31"/>
  <c r="Q100" i="31"/>
  <c r="P100" i="31"/>
  <c r="Q99" i="31"/>
  <c r="P99" i="31"/>
  <c r="Q98" i="31"/>
  <c r="P98" i="31"/>
  <c r="Q97" i="31"/>
  <c r="P97" i="31"/>
  <c r="Q96" i="31"/>
  <c r="P96" i="31"/>
  <c r="Q95" i="31"/>
  <c r="P95" i="31"/>
  <c r="Q94" i="31"/>
  <c r="P94" i="31"/>
  <c r="Q93" i="31"/>
  <c r="P93" i="31"/>
  <c r="Q92" i="31"/>
  <c r="P92" i="31"/>
  <c r="Q91" i="31"/>
  <c r="P91" i="31"/>
  <c r="Q90" i="31"/>
  <c r="P90" i="31"/>
  <c r="Q89" i="31"/>
  <c r="P89" i="31"/>
  <c r="Q88" i="31"/>
  <c r="P88" i="31"/>
  <c r="Q87" i="31"/>
  <c r="P87" i="31"/>
  <c r="Q86" i="31"/>
  <c r="P86" i="31"/>
  <c r="Q85" i="31"/>
  <c r="P85" i="31"/>
  <c r="Q84" i="31"/>
  <c r="P84" i="31"/>
  <c r="Q83" i="31"/>
  <c r="P83" i="31"/>
  <c r="Q82" i="31"/>
  <c r="P82" i="31"/>
  <c r="Q81" i="31"/>
  <c r="P81" i="31"/>
  <c r="Q80" i="31"/>
  <c r="P80" i="31"/>
  <c r="Q79" i="31"/>
  <c r="P79" i="31"/>
  <c r="Q78" i="31"/>
  <c r="P78" i="31"/>
  <c r="Q77" i="31"/>
  <c r="P77" i="31"/>
  <c r="Q76" i="31"/>
  <c r="P76" i="31"/>
  <c r="Q75" i="31"/>
  <c r="P75" i="31"/>
  <c r="Q74" i="31"/>
  <c r="P74" i="31"/>
  <c r="Q73" i="31"/>
  <c r="P73" i="31"/>
  <c r="Q72" i="31"/>
  <c r="P72" i="31"/>
  <c r="Q71" i="31"/>
  <c r="P71" i="31"/>
  <c r="Q70" i="31"/>
  <c r="P70" i="31"/>
  <c r="Q69" i="31"/>
  <c r="P69" i="31"/>
  <c r="Q68" i="31"/>
  <c r="P68" i="31"/>
  <c r="Q67" i="31"/>
  <c r="P67" i="31"/>
  <c r="Q66" i="31"/>
  <c r="P66" i="31"/>
  <c r="Q65" i="31"/>
  <c r="P65" i="31"/>
  <c r="Q64" i="31"/>
  <c r="P64" i="31"/>
  <c r="Q63" i="31"/>
  <c r="P63" i="31"/>
  <c r="Q62" i="31"/>
  <c r="P62" i="31"/>
  <c r="Q61" i="31"/>
  <c r="P61" i="31"/>
  <c r="Q60" i="31"/>
  <c r="P60" i="31"/>
  <c r="Q59" i="31"/>
  <c r="P59" i="31"/>
  <c r="Q58" i="31"/>
  <c r="P58" i="31"/>
  <c r="Q57" i="31"/>
  <c r="P57" i="31"/>
  <c r="Q56" i="31"/>
  <c r="P56" i="31"/>
  <c r="Q55" i="31"/>
  <c r="P55" i="31"/>
  <c r="Q54" i="31"/>
  <c r="P54" i="31"/>
  <c r="Q53" i="31"/>
  <c r="P53" i="31"/>
  <c r="Q52" i="31"/>
  <c r="P52" i="31"/>
  <c r="Q51" i="31"/>
  <c r="P51" i="31"/>
  <c r="Q50" i="31"/>
  <c r="P50" i="31"/>
  <c r="Q49" i="31"/>
  <c r="P49" i="31"/>
  <c r="Q48" i="31"/>
  <c r="P48" i="31"/>
  <c r="Q47" i="31"/>
  <c r="P47" i="31"/>
  <c r="Q46" i="31"/>
  <c r="P46" i="31"/>
  <c r="Q45" i="31"/>
  <c r="P45" i="31"/>
  <c r="Q44" i="31"/>
  <c r="P44" i="31"/>
  <c r="Q43" i="31"/>
  <c r="P43" i="31"/>
  <c r="Q42" i="31"/>
  <c r="P42" i="31"/>
  <c r="Q41" i="31"/>
  <c r="P41" i="31"/>
  <c r="Q40" i="31"/>
  <c r="P40" i="31"/>
  <c r="Q39" i="31"/>
  <c r="P39" i="31"/>
  <c r="Q38" i="31"/>
  <c r="P38" i="31"/>
  <c r="Q37" i="31"/>
  <c r="P37" i="31"/>
  <c r="Q36" i="31"/>
  <c r="P36" i="31"/>
  <c r="Q35" i="31"/>
  <c r="P35" i="31"/>
  <c r="Q34" i="31"/>
  <c r="P34" i="31"/>
  <c r="Q33" i="31"/>
  <c r="P33" i="31"/>
  <c r="Q32" i="31"/>
  <c r="P32" i="31"/>
  <c r="Q31" i="31"/>
  <c r="P31" i="31"/>
  <c r="Q30" i="31"/>
  <c r="P30" i="31"/>
  <c r="Q29" i="31"/>
  <c r="P29" i="31"/>
  <c r="Q28" i="31"/>
  <c r="P28" i="31"/>
  <c r="Q27" i="31"/>
  <c r="P27" i="31"/>
  <c r="Q26" i="31"/>
  <c r="P26" i="31"/>
  <c r="Q25" i="31"/>
  <c r="P25" i="31"/>
  <c r="Q24" i="31"/>
  <c r="P24" i="31"/>
  <c r="Q23" i="31"/>
  <c r="P23" i="31"/>
  <c r="Q22" i="31"/>
  <c r="P22" i="31"/>
  <c r="Q21" i="31"/>
  <c r="P21" i="31"/>
  <c r="Q20" i="31"/>
  <c r="P20" i="31"/>
  <c r="Q19" i="31"/>
  <c r="P19" i="31"/>
  <c r="Q18" i="31"/>
  <c r="P18" i="31"/>
  <c r="Q17" i="31"/>
  <c r="P17" i="31"/>
  <c r="Q16" i="31"/>
  <c r="P16" i="31"/>
  <c r="Q15" i="31"/>
  <c r="P15" i="31"/>
  <c r="Q14" i="31"/>
  <c r="P14" i="31"/>
  <c r="Q13" i="31"/>
  <c r="P13" i="31"/>
  <c r="K106" i="31"/>
  <c r="I106" i="31"/>
  <c r="H106" i="31"/>
  <c r="G106" i="31"/>
  <c r="K105" i="31"/>
  <c r="I105" i="31"/>
  <c r="H105" i="31"/>
  <c r="G105" i="31"/>
  <c r="K104" i="31"/>
  <c r="I104" i="31"/>
  <c r="H104" i="31"/>
  <c r="G104" i="31"/>
  <c r="K103" i="31"/>
  <c r="I103" i="31"/>
  <c r="H103" i="31"/>
  <c r="G103" i="31"/>
  <c r="K102" i="31"/>
  <c r="M102" i="31" s="1"/>
  <c r="I102" i="31"/>
  <c r="H102" i="31"/>
  <c r="G102" i="31"/>
  <c r="K101" i="31"/>
  <c r="I101" i="31"/>
  <c r="H101" i="31"/>
  <c r="G101" i="31"/>
  <c r="K100" i="31"/>
  <c r="I100" i="31"/>
  <c r="H100" i="31"/>
  <c r="G100" i="31"/>
  <c r="M99" i="31"/>
  <c r="K99" i="31"/>
  <c r="I99" i="31"/>
  <c r="H99" i="31"/>
  <c r="G99" i="31"/>
  <c r="K98" i="31"/>
  <c r="M98" i="31" s="1"/>
  <c r="I98" i="31"/>
  <c r="H98" i="31"/>
  <c r="G98" i="31"/>
  <c r="K97" i="31"/>
  <c r="I97" i="31"/>
  <c r="H97" i="31"/>
  <c r="G97" i="31"/>
  <c r="K96" i="31"/>
  <c r="M96" i="31" s="1"/>
  <c r="I96" i="31"/>
  <c r="H96" i="31"/>
  <c r="G96" i="31"/>
  <c r="K95" i="31"/>
  <c r="M95" i="31" s="1"/>
  <c r="I95" i="31"/>
  <c r="H95" i="31"/>
  <c r="G95" i="31"/>
  <c r="K94" i="31"/>
  <c r="M94" i="31" s="1"/>
  <c r="I94" i="31"/>
  <c r="H94" i="31"/>
  <c r="G94" i="31"/>
  <c r="K93" i="31"/>
  <c r="M93" i="31" s="1"/>
  <c r="I93" i="31"/>
  <c r="H93" i="31"/>
  <c r="G93" i="31"/>
  <c r="K92" i="31"/>
  <c r="M92" i="31" s="1"/>
  <c r="I92" i="31"/>
  <c r="H92" i="31"/>
  <c r="G92" i="31"/>
  <c r="K91" i="31"/>
  <c r="I91" i="31"/>
  <c r="H91" i="31"/>
  <c r="G91" i="31"/>
  <c r="K90" i="31"/>
  <c r="M90" i="31" s="1"/>
  <c r="I90" i="31"/>
  <c r="H90" i="31"/>
  <c r="G90" i="31"/>
  <c r="K89" i="31"/>
  <c r="I89" i="31"/>
  <c r="H89" i="31"/>
  <c r="G89" i="31"/>
  <c r="K88" i="31"/>
  <c r="M88" i="31" s="1"/>
  <c r="I88" i="31"/>
  <c r="H88" i="31"/>
  <c r="G88" i="31"/>
  <c r="K87" i="31"/>
  <c r="I87" i="31"/>
  <c r="H87" i="31"/>
  <c r="G87" i="31"/>
  <c r="K86" i="31"/>
  <c r="M86" i="31" s="1"/>
  <c r="I86" i="31"/>
  <c r="H86" i="31"/>
  <c r="G86" i="31"/>
  <c r="K85" i="31"/>
  <c r="I85" i="31"/>
  <c r="H85" i="31"/>
  <c r="G85" i="31"/>
  <c r="K84" i="31"/>
  <c r="M84" i="31" s="1"/>
  <c r="I84" i="31"/>
  <c r="H84" i="31"/>
  <c r="G84" i="31"/>
  <c r="K83" i="31"/>
  <c r="I83" i="31"/>
  <c r="H83" i="31"/>
  <c r="G83" i="31"/>
  <c r="K82" i="31"/>
  <c r="M82" i="31" s="1"/>
  <c r="I82" i="31"/>
  <c r="H82" i="31"/>
  <c r="G82" i="31"/>
  <c r="K81" i="31"/>
  <c r="I81" i="31"/>
  <c r="H81" i="31"/>
  <c r="G81" i="31"/>
  <c r="M80" i="31"/>
  <c r="K80" i="31"/>
  <c r="I80" i="31"/>
  <c r="H80" i="31"/>
  <c r="G80" i="31"/>
  <c r="K79" i="31"/>
  <c r="I79" i="31"/>
  <c r="H79" i="31"/>
  <c r="G79" i="31"/>
  <c r="K78" i="31"/>
  <c r="M78" i="31" s="1"/>
  <c r="I78" i="31"/>
  <c r="H78" i="31"/>
  <c r="G78" i="31"/>
  <c r="K77" i="31"/>
  <c r="I77" i="31"/>
  <c r="H77" i="31"/>
  <c r="G77" i="31"/>
  <c r="K76" i="31"/>
  <c r="M76" i="31" s="1"/>
  <c r="I76" i="31"/>
  <c r="H76" i="31"/>
  <c r="G76" i="31"/>
  <c r="K75" i="31"/>
  <c r="I75" i="31"/>
  <c r="H75" i="31"/>
  <c r="G75" i="31"/>
  <c r="K74" i="31"/>
  <c r="M74" i="31" s="1"/>
  <c r="I74" i="31"/>
  <c r="H74" i="31"/>
  <c r="G74" i="31"/>
  <c r="K73" i="31"/>
  <c r="I73" i="31"/>
  <c r="H73" i="31"/>
  <c r="G73" i="31"/>
  <c r="K72" i="31"/>
  <c r="M72" i="31" s="1"/>
  <c r="I72" i="31"/>
  <c r="H72" i="31"/>
  <c r="G72" i="31"/>
  <c r="K71" i="31"/>
  <c r="M71" i="31" s="1"/>
  <c r="I71" i="31"/>
  <c r="H71" i="31"/>
  <c r="G71" i="31"/>
  <c r="K70" i="31"/>
  <c r="M70" i="31" s="1"/>
  <c r="I70" i="31"/>
  <c r="H70" i="31"/>
  <c r="G70" i="31"/>
  <c r="K69" i="31"/>
  <c r="I69" i="31"/>
  <c r="H69" i="31"/>
  <c r="G69" i="31"/>
  <c r="K68" i="31"/>
  <c r="M68" i="31" s="1"/>
  <c r="I68" i="31"/>
  <c r="H68" i="31"/>
  <c r="G68" i="31"/>
  <c r="K67" i="31"/>
  <c r="I67" i="31"/>
  <c r="H67" i="31"/>
  <c r="G67" i="31"/>
  <c r="K66" i="31"/>
  <c r="M66" i="31" s="1"/>
  <c r="I66" i="31"/>
  <c r="H66" i="31"/>
  <c r="G66" i="31"/>
  <c r="K65" i="31"/>
  <c r="I65" i="31"/>
  <c r="H65" i="31"/>
  <c r="G65" i="31"/>
  <c r="K64" i="31"/>
  <c r="N64" i="31" s="1"/>
  <c r="J64" i="31"/>
  <c r="L64" i="31" s="1"/>
  <c r="I64" i="31"/>
  <c r="H64" i="31"/>
  <c r="G64" i="31"/>
  <c r="K63" i="31"/>
  <c r="J63" i="31" s="1"/>
  <c r="L63" i="31" s="1"/>
  <c r="I63" i="31"/>
  <c r="H63" i="31"/>
  <c r="G63" i="31"/>
  <c r="K62" i="31"/>
  <c r="M62" i="31" s="1"/>
  <c r="I62" i="31"/>
  <c r="H62" i="31"/>
  <c r="G62" i="31"/>
  <c r="K61" i="31"/>
  <c r="M61" i="31" s="1"/>
  <c r="I61" i="31"/>
  <c r="H61" i="31"/>
  <c r="G61" i="31"/>
  <c r="M60" i="31"/>
  <c r="K60" i="31"/>
  <c r="N60" i="31" s="1"/>
  <c r="I60" i="31"/>
  <c r="H60" i="31"/>
  <c r="G60" i="31"/>
  <c r="K59" i="31"/>
  <c r="J59" i="31" s="1"/>
  <c r="I59" i="31"/>
  <c r="H59" i="31"/>
  <c r="G59" i="31"/>
  <c r="K58" i="31"/>
  <c r="J58" i="31" s="1"/>
  <c r="I58" i="31"/>
  <c r="H58" i="31"/>
  <c r="G58" i="31"/>
  <c r="K57" i="31"/>
  <c r="M57" i="31" s="1"/>
  <c r="I57" i="31"/>
  <c r="H57" i="31"/>
  <c r="G57" i="31"/>
  <c r="K56" i="31"/>
  <c r="N56" i="31" s="1"/>
  <c r="I56" i="31"/>
  <c r="H56" i="31"/>
  <c r="G56" i="31"/>
  <c r="K55" i="31"/>
  <c r="J55" i="31" s="1"/>
  <c r="I55" i="31"/>
  <c r="H55" i="31"/>
  <c r="G55" i="31"/>
  <c r="K54" i="31"/>
  <c r="M54" i="31" s="1"/>
  <c r="I54" i="31"/>
  <c r="H54" i="31"/>
  <c r="G54" i="31"/>
  <c r="K53" i="31"/>
  <c r="M53" i="31" s="1"/>
  <c r="I53" i="31"/>
  <c r="H53" i="31"/>
  <c r="G53" i="31"/>
  <c r="K52" i="31"/>
  <c r="N52" i="31" s="1"/>
  <c r="I52" i="31"/>
  <c r="H52" i="31"/>
  <c r="G52" i="31"/>
  <c r="K51" i="31"/>
  <c r="J51" i="31" s="1"/>
  <c r="I51" i="31"/>
  <c r="H51" i="31"/>
  <c r="G51" i="31"/>
  <c r="K50" i="31"/>
  <c r="J50" i="31" s="1"/>
  <c r="I50" i="31"/>
  <c r="H50" i="31"/>
  <c r="G50" i="31"/>
  <c r="K49" i="31"/>
  <c r="M49" i="31" s="1"/>
  <c r="I49" i="31"/>
  <c r="H49" i="31"/>
  <c r="G49" i="31"/>
  <c r="K48" i="31"/>
  <c r="N48" i="31" s="1"/>
  <c r="I48" i="31"/>
  <c r="H48" i="31"/>
  <c r="G48" i="31"/>
  <c r="K47" i="31"/>
  <c r="J47" i="31" s="1"/>
  <c r="I47" i="31"/>
  <c r="H47" i="31"/>
  <c r="G47" i="31"/>
  <c r="K46" i="31"/>
  <c r="M46" i="31" s="1"/>
  <c r="I46" i="31"/>
  <c r="H46" i="31"/>
  <c r="G46" i="31"/>
  <c r="K45" i="31"/>
  <c r="M45" i="31" s="1"/>
  <c r="I45" i="31"/>
  <c r="H45" i="31"/>
  <c r="G45" i="31"/>
  <c r="K44" i="31"/>
  <c r="N44" i="31" s="1"/>
  <c r="I44" i="31"/>
  <c r="H44" i="31"/>
  <c r="G44" i="31"/>
  <c r="K43" i="31"/>
  <c r="J43" i="31" s="1"/>
  <c r="I43" i="31"/>
  <c r="H43" i="31"/>
  <c r="G43" i="31"/>
  <c r="K42" i="31"/>
  <c r="J42" i="31" s="1"/>
  <c r="I42" i="31"/>
  <c r="H42" i="31"/>
  <c r="G42" i="31"/>
  <c r="K41" i="31"/>
  <c r="M41" i="31" s="1"/>
  <c r="I41" i="31"/>
  <c r="H41" i="31"/>
  <c r="G41" i="31"/>
  <c r="K40" i="31"/>
  <c r="N40" i="31" s="1"/>
  <c r="I40" i="31"/>
  <c r="H40" i="31"/>
  <c r="G40" i="31"/>
  <c r="K39" i="31"/>
  <c r="J39" i="31" s="1"/>
  <c r="I39" i="31"/>
  <c r="H39" i="31"/>
  <c r="G39" i="31"/>
  <c r="K38" i="31"/>
  <c r="M38" i="31" s="1"/>
  <c r="I38" i="31"/>
  <c r="H38" i="31"/>
  <c r="G38" i="31"/>
  <c r="K37" i="31"/>
  <c r="M37" i="31" s="1"/>
  <c r="I37" i="31"/>
  <c r="H37" i="31"/>
  <c r="G37" i="31"/>
  <c r="K36" i="31"/>
  <c r="N36" i="31" s="1"/>
  <c r="I36" i="31"/>
  <c r="H36" i="31"/>
  <c r="G36" i="31"/>
  <c r="K35" i="31"/>
  <c r="J35" i="31" s="1"/>
  <c r="I35" i="31"/>
  <c r="H35" i="31"/>
  <c r="G35" i="31"/>
  <c r="K34" i="31"/>
  <c r="J34" i="31" s="1"/>
  <c r="I34" i="31"/>
  <c r="H34" i="31"/>
  <c r="G34" i="31"/>
  <c r="K33" i="31"/>
  <c r="M33" i="31" s="1"/>
  <c r="I33" i="31"/>
  <c r="H33" i="31"/>
  <c r="G33" i="31"/>
  <c r="K32" i="31"/>
  <c r="N32" i="31" s="1"/>
  <c r="I32" i="31"/>
  <c r="H32" i="31"/>
  <c r="G32" i="31"/>
  <c r="K31" i="31"/>
  <c r="J31" i="31" s="1"/>
  <c r="I31" i="31"/>
  <c r="H31" i="31"/>
  <c r="G31" i="31"/>
  <c r="K30" i="31"/>
  <c r="M30" i="31" s="1"/>
  <c r="I30" i="31"/>
  <c r="H30" i="31"/>
  <c r="G30" i="31"/>
  <c r="K29" i="31"/>
  <c r="M29" i="31" s="1"/>
  <c r="I29" i="31"/>
  <c r="H29" i="31"/>
  <c r="G29" i="31"/>
  <c r="K28" i="31"/>
  <c r="N28" i="31" s="1"/>
  <c r="I28" i="31"/>
  <c r="H28" i="31"/>
  <c r="G28" i="31"/>
  <c r="K27" i="31"/>
  <c r="J27" i="31" s="1"/>
  <c r="I27" i="31"/>
  <c r="H27" i="31"/>
  <c r="G27" i="31"/>
  <c r="K26" i="31"/>
  <c r="J26" i="31" s="1"/>
  <c r="I26" i="31"/>
  <c r="H26" i="31"/>
  <c r="G26" i="31"/>
  <c r="K25" i="31"/>
  <c r="M25" i="31" s="1"/>
  <c r="I25" i="31"/>
  <c r="H25" i="31"/>
  <c r="G25" i="31"/>
  <c r="K24" i="31"/>
  <c r="N24" i="31" s="1"/>
  <c r="I24" i="31"/>
  <c r="H24" i="31"/>
  <c r="G24" i="31"/>
  <c r="K23" i="31"/>
  <c r="J23" i="31" s="1"/>
  <c r="I23" i="31"/>
  <c r="H23" i="31"/>
  <c r="G23" i="31"/>
  <c r="K22" i="31"/>
  <c r="M22" i="31" s="1"/>
  <c r="I22" i="31"/>
  <c r="H22" i="31"/>
  <c r="G22" i="31"/>
  <c r="K21" i="31"/>
  <c r="M21" i="31" s="1"/>
  <c r="I21" i="31"/>
  <c r="H21" i="31"/>
  <c r="G21" i="31"/>
  <c r="K20" i="31"/>
  <c r="N20" i="31" s="1"/>
  <c r="I20" i="31"/>
  <c r="H20" i="31"/>
  <c r="G20" i="31"/>
  <c r="K19" i="31"/>
  <c r="J19" i="31" s="1"/>
  <c r="I19" i="31"/>
  <c r="H19" i="31"/>
  <c r="G19" i="31"/>
  <c r="K18" i="31"/>
  <c r="J18" i="31" s="1"/>
  <c r="L18" i="31" s="1"/>
  <c r="I18" i="31"/>
  <c r="H18" i="31"/>
  <c r="G18" i="31"/>
  <c r="K17" i="31"/>
  <c r="M17" i="31" s="1"/>
  <c r="I17" i="31"/>
  <c r="H17" i="31"/>
  <c r="G17" i="31"/>
  <c r="M16" i="31"/>
  <c r="K16" i="31"/>
  <c r="N16" i="31" s="1"/>
  <c r="I16" i="31"/>
  <c r="H16" i="31"/>
  <c r="G16" i="31"/>
  <c r="K15" i="31"/>
  <c r="J15" i="31" s="1"/>
  <c r="I15" i="31"/>
  <c r="H15" i="31"/>
  <c r="G15" i="31"/>
  <c r="K14" i="31"/>
  <c r="N14" i="31" s="1"/>
  <c r="I14" i="31"/>
  <c r="H14" i="31"/>
  <c r="G14" i="31"/>
  <c r="K13" i="31"/>
  <c r="I13" i="31"/>
  <c r="H13" i="31"/>
  <c r="G13" i="31"/>
  <c r="U13" i="33"/>
  <c r="U14" i="33"/>
  <c r="U15" i="33"/>
  <c r="U16" i="33"/>
  <c r="U17" i="33"/>
  <c r="U18" i="33"/>
  <c r="U19" i="33"/>
  <c r="U20" i="33"/>
  <c r="U21" i="33"/>
  <c r="U22" i="33"/>
  <c r="U23" i="33"/>
  <c r="U24" i="33"/>
  <c r="U25" i="33"/>
  <c r="U26" i="33"/>
  <c r="U27" i="33"/>
  <c r="U28" i="33"/>
  <c r="U10" i="33"/>
  <c r="U12" i="33"/>
  <c r="T13" i="33"/>
  <c r="T14" i="33"/>
  <c r="T15" i="33"/>
  <c r="T16" i="33"/>
  <c r="T17" i="33"/>
  <c r="T18" i="33"/>
  <c r="T19" i="33"/>
  <c r="T20" i="33"/>
  <c r="T21" i="33"/>
  <c r="T22" i="33"/>
  <c r="T23" i="33"/>
  <c r="T24" i="33"/>
  <c r="T25" i="33"/>
  <c r="T26" i="33"/>
  <c r="T27" i="33"/>
  <c r="T28" i="33"/>
  <c r="T10" i="33"/>
  <c r="T12" i="33"/>
  <c r="R13" i="33"/>
  <c r="R14" i="33"/>
  <c r="R15" i="33"/>
  <c r="R16" i="33"/>
  <c r="R17" i="33"/>
  <c r="R18" i="33"/>
  <c r="R19" i="33"/>
  <c r="R20" i="33"/>
  <c r="R21" i="33"/>
  <c r="R22" i="33"/>
  <c r="R23" i="33"/>
  <c r="R24" i="33"/>
  <c r="R25" i="33"/>
  <c r="R26" i="33"/>
  <c r="R27" i="33"/>
  <c r="R28" i="33"/>
  <c r="R10" i="33"/>
  <c r="R12" i="33"/>
  <c r="J16" i="31" l="1"/>
  <c r="N42" i="31"/>
  <c r="L43" i="31"/>
  <c r="J44" i="31"/>
  <c r="L44" i="31" s="1"/>
  <c r="J60" i="31"/>
  <c r="J40" i="31"/>
  <c r="J20" i="31"/>
  <c r="L20" i="31" s="1"/>
  <c r="J28" i="31"/>
  <c r="L28" i="31" s="1"/>
  <c r="M48" i="31"/>
  <c r="L50" i="31"/>
  <c r="J52" i="31"/>
  <c r="L52" i="31" s="1"/>
  <c r="M28" i="31"/>
  <c r="L31" i="31"/>
  <c r="J32" i="31"/>
  <c r="L32" i="31" s="1"/>
  <c r="J48" i="31"/>
  <c r="L48" i="31" s="1"/>
  <c r="N18" i="31"/>
  <c r="M24" i="31"/>
  <c r="M36" i="31"/>
  <c r="L39" i="31"/>
  <c r="L51" i="31"/>
  <c r="M56" i="31"/>
  <c r="L58" i="31"/>
  <c r="N26" i="31"/>
  <c r="L59" i="31"/>
  <c r="L60" i="31"/>
  <c r="M64" i="31"/>
  <c r="L19" i="31"/>
  <c r="L26" i="31"/>
  <c r="L40" i="31"/>
  <c r="N50" i="31"/>
  <c r="L15" i="31"/>
  <c r="L16" i="31"/>
  <c r="L27" i="31"/>
  <c r="M32" i="31"/>
  <c r="L34" i="31"/>
  <c r="M44" i="31"/>
  <c r="L47" i="31"/>
  <c r="N58" i="31"/>
  <c r="M20" i="31"/>
  <c r="L23" i="31"/>
  <c r="J24" i="31"/>
  <c r="L24" i="31" s="1"/>
  <c r="N34" i="31"/>
  <c r="L35" i="31"/>
  <c r="J36" i="31"/>
  <c r="L36" i="31" s="1"/>
  <c r="M40" i="31"/>
  <c r="L42" i="31"/>
  <c r="M52" i="31"/>
  <c r="L55" i="31"/>
  <c r="J56" i="31"/>
  <c r="L56" i="31" s="1"/>
  <c r="N30" i="31"/>
  <c r="N38" i="31"/>
  <c r="N54" i="31"/>
  <c r="N62" i="31"/>
  <c r="N22" i="31"/>
  <c r="N46" i="31"/>
  <c r="M18" i="31"/>
  <c r="N21" i="31"/>
  <c r="J22" i="31"/>
  <c r="L22" i="31" s="1"/>
  <c r="M26" i="31"/>
  <c r="N29" i="31"/>
  <c r="J30" i="31"/>
  <c r="L30" i="31" s="1"/>
  <c r="M34" i="31"/>
  <c r="N37" i="31"/>
  <c r="J38" i="31"/>
  <c r="L38" i="31" s="1"/>
  <c r="M42" i="31"/>
  <c r="N45" i="31"/>
  <c r="J46" i="31"/>
  <c r="L46" i="31" s="1"/>
  <c r="M50" i="31"/>
  <c r="N53" i="31"/>
  <c r="J54" i="31"/>
  <c r="L54" i="31" s="1"/>
  <c r="M58" i="31"/>
  <c r="N61" i="31"/>
  <c r="J62" i="31"/>
  <c r="L62" i="31" s="1"/>
  <c r="N17" i="31"/>
  <c r="N25" i="31"/>
  <c r="N33" i="31"/>
  <c r="N41" i="31"/>
  <c r="N49" i="31"/>
  <c r="N57" i="31"/>
  <c r="M15" i="31"/>
  <c r="J17" i="31"/>
  <c r="L17" i="31" s="1"/>
  <c r="M19" i="31"/>
  <c r="J21" i="31"/>
  <c r="L21" i="31" s="1"/>
  <c r="M23" i="31"/>
  <c r="J25" i="31"/>
  <c r="L25" i="31" s="1"/>
  <c r="M27" i="31"/>
  <c r="J29" i="31"/>
  <c r="L29" i="31" s="1"/>
  <c r="M31" i="31"/>
  <c r="J33" i="31"/>
  <c r="L33" i="31" s="1"/>
  <c r="M35" i="31"/>
  <c r="J37" i="31"/>
  <c r="L37" i="31" s="1"/>
  <c r="M39" i="31"/>
  <c r="J41" i="31"/>
  <c r="L41" i="31" s="1"/>
  <c r="M43" i="31"/>
  <c r="J45" i="31"/>
  <c r="L45" i="31" s="1"/>
  <c r="M47" i="31"/>
  <c r="J49" i="31"/>
  <c r="L49" i="31" s="1"/>
  <c r="M51" i="31"/>
  <c r="J53" i="31"/>
  <c r="L53" i="31" s="1"/>
  <c r="M55" i="31"/>
  <c r="J57" i="31"/>
  <c r="L57" i="31" s="1"/>
  <c r="M59" i="31"/>
  <c r="J61" i="31"/>
  <c r="L61" i="31" s="1"/>
  <c r="M63" i="31"/>
  <c r="N15" i="31"/>
  <c r="N19" i="31"/>
  <c r="N23" i="31"/>
  <c r="N31" i="31"/>
  <c r="N35" i="31"/>
  <c r="N39" i="31"/>
  <c r="N51" i="31"/>
  <c r="N55" i="31"/>
  <c r="N59" i="31"/>
  <c r="N63" i="31"/>
  <c r="N27" i="31"/>
  <c r="N43" i="31"/>
  <c r="N47" i="31"/>
  <c r="J14" i="31"/>
  <c r="L14" i="31" s="1"/>
  <c r="M14" i="31"/>
  <c r="N65" i="31"/>
  <c r="J65" i="31"/>
  <c r="L65" i="31" s="1"/>
  <c r="N67" i="31"/>
  <c r="J67" i="31"/>
  <c r="L67" i="31" s="1"/>
  <c r="N69" i="31"/>
  <c r="J69" i="31"/>
  <c r="L69" i="31" s="1"/>
  <c r="N83" i="31"/>
  <c r="J83" i="31"/>
  <c r="L83" i="31" s="1"/>
  <c r="N85" i="31"/>
  <c r="J85" i="31"/>
  <c r="L85" i="31" s="1"/>
  <c r="N100" i="31"/>
  <c r="J100" i="31"/>
  <c r="L100" i="31" s="1"/>
  <c r="N73" i="31"/>
  <c r="J73" i="31"/>
  <c r="L73" i="31" s="1"/>
  <c r="N75" i="31"/>
  <c r="J75" i="31"/>
  <c r="L75" i="31" s="1"/>
  <c r="N77" i="31"/>
  <c r="J77" i="31"/>
  <c r="L77" i="31" s="1"/>
  <c r="N79" i="31"/>
  <c r="J79" i="31"/>
  <c r="L79" i="31" s="1"/>
  <c r="N81" i="31"/>
  <c r="J81" i="31"/>
  <c r="L81" i="31" s="1"/>
  <c r="N87" i="31"/>
  <c r="J87" i="31"/>
  <c r="L87" i="31" s="1"/>
  <c r="N89" i="31"/>
  <c r="J89" i="31"/>
  <c r="L89" i="31" s="1"/>
  <c r="N91" i="31"/>
  <c r="J91" i="31"/>
  <c r="L91" i="31" s="1"/>
  <c r="N97" i="31"/>
  <c r="J97" i="31"/>
  <c r="L97" i="31" s="1"/>
  <c r="M100" i="31"/>
  <c r="N101" i="31"/>
  <c r="J101" i="31"/>
  <c r="L101" i="31" s="1"/>
  <c r="M65" i="31"/>
  <c r="N66" i="31"/>
  <c r="J66" i="31"/>
  <c r="L66" i="31" s="1"/>
  <c r="M67" i="31"/>
  <c r="N68" i="31"/>
  <c r="J68" i="31"/>
  <c r="L68" i="31" s="1"/>
  <c r="M69" i="31"/>
  <c r="N70" i="31"/>
  <c r="J70" i="31"/>
  <c r="L70" i="31" s="1"/>
  <c r="N72" i="31"/>
  <c r="J72" i="31"/>
  <c r="L72" i="31" s="1"/>
  <c r="M73" i="31"/>
  <c r="N74" i="31"/>
  <c r="J74" i="31"/>
  <c r="L74" i="31" s="1"/>
  <c r="M75" i="31"/>
  <c r="N76" i="31"/>
  <c r="J76" i="31"/>
  <c r="L76" i="31" s="1"/>
  <c r="M77" i="31"/>
  <c r="N78" i="31"/>
  <c r="J78" i="31"/>
  <c r="L78" i="31" s="1"/>
  <c r="M79" i="31"/>
  <c r="N80" i="31"/>
  <c r="J80" i="31"/>
  <c r="L80" i="31" s="1"/>
  <c r="M81" i="31"/>
  <c r="N82" i="31"/>
  <c r="J82" i="31"/>
  <c r="L82" i="31" s="1"/>
  <c r="M83" i="31"/>
  <c r="N84" i="31"/>
  <c r="J84" i="31"/>
  <c r="L84" i="31" s="1"/>
  <c r="M85" i="31"/>
  <c r="N86" i="31"/>
  <c r="J86" i="31"/>
  <c r="L86" i="31" s="1"/>
  <c r="M87" i="31"/>
  <c r="N88" i="31"/>
  <c r="J88" i="31"/>
  <c r="L88" i="31" s="1"/>
  <c r="M89" i="31"/>
  <c r="N90" i="31"/>
  <c r="J90" i="31"/>
  <c r="L90" i="31" s="1"/>
  <c r="M91" i="31"/>
  <c r="N92" i="31"/>
  <c r="J92" i="31"/>
  <c r="L92" i="31" s="1"/>
  <c r="N94" i="31"/>
  <c r="J94" i="31"/>
  <c r="L94" i="31" s="1"/>
  <c r="M97" i="31"/>
  <c r="N98" i="31"/>
  <c r="J98" i="31"/>
  <c r="L98" i="31" s="1"/>
  <c r="M101" i="31"/>
  <c r="N102" i="31"/>
  <c r="J102" i="31"/>
  <c r="L102" i="31" s="1"/>
  <c r="N71" i="31"/>
  <c r="J71" i="31"/>
  <c r="L71" i="31" s="1"/>
  <c r="N93" i="31"/>
  <c r="J93" i="31"/>
  <c r="L93" i="31" s="1"/>
  <c r="N96" i="31"/>
  <c r="J96" i="31"/>
  <c r="L96" i="31" s="1"/>
  <c r="N95" i="31"/>
  <c r="J95" i="31"/>
  <c r="L95" i="31" s="1"/>
  <c r="N99" i="31"/>
  <c r="J99" i="31"/>
  <c r="L99" i="31" s="1"/>
  <c r="N103" i="31"/>
  <c r="J103" i="31"/>
  <c r="L103" i="31" s="1"/>
  <c r="M103" i="31"/>
  <c r="N104" i="31"/>
  <c r="J104" i="31"/>
  <c r="L104" i="31" s="1"/>
  <c r="M104" i="31"/>
  <c r="N105" i="31"/>
  <c r="J105" i="31"/>
  <c r="L105" i="31" s="1"/>
  <c r="M105" i="31"/>
  <c r="N106" i="31"/>
  <c r="J106" i="31"/>
  <c r="L106" i="31" s="1"/>
  <c r="M106" i="31"/>
  <c r="A34" i="28" l="1"/>
  <c r="B34" i="28"/>
  <c r="E3" i="43"/>
  <c r="K38" i="38"/>
  <c r="K39" i="38"/>
  <c r="N39" i="38" s="1"/>
  <c r="K40" i="38"/>
  <c r="N40" i="38" s="1"/>
  <c r="K41" i="38"/>
  <c r="K42" i="38"/>
  <c r="K43" i="38"/>
  <c r="K44" i="38"/>
  <c r="K45" i="38"/>
  <c r="K46" i="38"/>
  <c r="K47" i="38"/>
  <c r="N47" i="38" s="1"/>
  <c r="K48" i="38"/>
  <c r="K49" i="38"/>
  <c r="K50" i="38"/>
  <c r="K51" i="38"/>
  <c r="K52" i="38"/>
  <c r="K53" i="38"/>
  <c r="K54" i="38"/>
  <c r="N54" i="38" s="1"/>
  <c r="K55" i="38"/>
  <c r="K56" i="38"/>
  <c r="K57" i="38"/>
  <c r="K58" i="38"/>
  <c r="K59" i="38"/>
  <c r="K60" i="38"/>
  <c r="K61" i="38"/>
  <c r="K62" i="38"/>
  <c r="N62" i="38" s="1"/>
  <c r="K63" i="38"/>
  <c r="K64" i="38"/>
  <c r="K65" i="38"/>
  <c r="N65" i="38" s="1"/>
  <c r="K66" i="38"/>
  <c r="N66" i="38" s="1"/>
  <c r="K67" i="38"/>
  <c r="N67" i="38" s="1"/>
  <c r="K68" i="38"/>
  <c r="K69" i="38"/>
  <c r="K70" i="38"/>
  <c r="K71" i="38"/>
  <c r="K72" i="38"/>
  <c r="K73" i="38"/>
  <c r="K74" i="38"/>
  <c r="K75" i="38"/>
  <c r="N75" i="38" s="1"/>
  <c r="K76" i="38"/>
  <c r="K77" i="38"/>
  <c r="N77" i="38" s="1"/>
  <c r="K78" i="38"/>
  <c r="K79" i="38"/>
  <c r="K80" i="38"/>
  <c r="N80" i="38" s="1"/>
  <c r="K81" i="38"/>
  <c r="K82" i="38"/>
  <c r="K83" i="38"/>
  <c r="K84" i="38"/>
  <c r="N84" i="38" s="1"/>
  <c r="K85" i="38"/>
  <c r="K86" i="38"/>
  <c r="K87" i="38"/>
  <c r="K88" i="38"/>
  <c r="K89" i="38"/>
  <c r="N89" i="38" s="1"/>
  <c r="K90" i="38"/>
  <c r="K91" i="38"/>
  <c r="K92" i="38"/>
  <c r="K93" i="38"/>
  <c r="N93" i="38" s="1"/>
  <c r="K94" i="38"/>
  <c r="N94" i="38" s="1"/>
  <c r="K95" i="38"/>
  <c r="K96" i="38"/>
  <c r="K97" i="38"/>
  <c r="N97" i="38" s="1"/>
  <c r="K98" i="38"/>
  <c r="N98" i="38" s="1"/>
  <c r="K99" i="38"/>
  <c r="K100" i="38"/>
  <c r="N100" i="38" s="1"/>
  <c r="K101" i="38"/>
  <c r="K102" i="38"/>
  <c r="K103" i="38"/>
  <c r="K104" i="38"/>
  <c r="K105" i="38"/>
  <c r="K106" i="38"/>
  <c r="K107" i="38"/>
  <c r="K108" i="38"/>
  <c r="K109" i="38"/>
  <c r="N109" i="38" s="1"/>
  <c r="K110" i="38"/>
  <c r="K111" i="38"/>
  <c r="N111" i="38" s="1"/>
  <c r="K112" i="38"/>
  <c r="N112" i="38" s="1"/>
  <c r="K113" i="38"/>
  <c r="N113" i="38" s="1"/>
  <c r="K114" i="38"/>
  <c r="K115" i="38"/>
  <c r="N115" i="38" s="1"/>
  <c r="K116" i="38"/>
  <c r="N116" i="38" s="1"/>
  <c r="K117" i="38"/>
  <c r="N117" i="38" s="1"/>
  <c r="K118" i="38"/>
  <c r="K119" i="38"/>
  <c r="N119" i="38" s="1"/>
  <c r="K120" i="38"/>
  <c r="K121" i="38"/>
  <c r="N121" i="38" s="1"/>
  <c r="K122" i="38"/>
  <c r="N122" i="38" s="1"/>
  <c r="C5" i="46" s="1"/>
  <c r="K123" i="38"/>
  <c r="K124" i="38"/>
  <c r="N124" i="38" s="1"/>
  <c r="K125" i="38"/>
  <c r="N125" i="38" s="1"/>
  <c r="K126" i="38"/>
  <c r="K127" i="38"/>
  <c r="N127" i="38" s="1"/>
  <c r="K128" i="38"/>
  <c r="K129" i="38"/>
  <c r="K130" i="38"/>
  <c r="K131" i="38"/>
  <c r="K132" i="38"/>
  <c r="N132" i="38" s="1"/>
  <c r="K133" i="38"/>
  <c r="K134" i="38"/>
  <c r="K135" i="38"/>
  <c r="K136" i="38"/>
  <c r="N136" i="38" s="1"/>
  <c r="K137" i="38"/>
  <c r="K138" i="38"/>
  <c r="K139" i="38"/>
  <c r="N139" i="38" s="1"/>
  <c r="K140" i="38"/>
  <c r="K141" i="38"/>
  <c r="K142" i="38"/>
  <c r="N142" i="38" s="1"/>
  <c r="K143" i="38"/>
  <c r="N143" i="38" s="1"/>
  <c r="K144" i="38"/>
  <c r="K145" i="38"/>
  <c r="K146" i="38"/>
  <c r="K147" i="38"/>
  <c r="K148" i="38"/>
  <c r="K149" i="38"/>
  <c r="K150" i="38"/>
  <c r="K151" i="38"/>
  <c r="K152" i="38"/>
  <c r="K153" i="38"/>
  <c r="K154" i="38"/>
  <c r="N154" i="38" s="1"/>
  <c r="K155" i="38"/>
  <c r="N155" i="38" s="1"/>
  <c r="K156" i="38"/>
  <c r="K157" i="38"/>
  <c r="K158" i="38"/>
  <c r="K159" i="38"/>
  <c r="K160" i="38"/>
  <c r="N160" i="38" s="1"/>
  <c r="K161" i="38"/>
  <c r="K162" i="38"/>
  <c r="K163" i="38"/>
  <c r="K164" i="38"/>
  <c r="K165" i="38"/>
  <c r="K166" i="38"/>
  <c r="N166" i="38" s="1"/>
  <c r="K167" i="38"/>
  <c r="N167" i="38" s="1"/>
  <c r="K168" i="38"/>
  <c r="N168" i="38" s="1"/>
  <c r="K169" i="38"/>
  <c r="N169" i="38" s="1"/>
  <c r="K170" i="38"/>
  <c r="N170" i="38" s="1"/>
  <c r="K171" i="38"/>
  <c r="K172" i="38"/>
  <c r="N172" i="38" s="1"/>
  <c r="K173" i="38"/>
  <c r="K174" i="38"/>
  <c r="N174" i="38" s="1"/>
  <c r="K175" i="38"/>
  <c r="N175" i="38" s="1"/>
  <c r="K176" i="38"/>
  <c r="K177" i="38"/>
  <c r="K178" i="38"/>
  <c r="K179" i="38"/>
  <c r="K180" i="38"/>
  <c r="K181" i="38"/>
  <c r="K182" i="38"/>
  <c r="K183" i="38"/>
  <c r="K184" i="38"/>
  <c r="K185" i="38"/>
  <c r="K186" i="38"/>
  <c r="K187" i="38"/>
  <c r="K188" i="38"/>
  <c r="N188" i="38" s="1"/>
  <c r="K189" i="38"/>
  <c r="N189" i="38" s="1"/>
  <c r="K190" i="38"/>
  <c r="N190" i="38" s="1"/>
  <c r="K191" i="38"/>
  <c r="K192" i="38"/>
  <c r="K193" i="38"/>
  <c r="N193" i="38" s="1"/>
  <c r="K194" i="38"/>
  <c r="K195" i="38"/>
  <c r="N195" i="38" s="1"/>
  <c r="K196" i="38"/>
  <c r="K197" i="38"/>
  <c r="K198" i="38"/>
  <c r="K199" i="38"/>
  <c r="N199" i="38" s="1"/>
  <c r="K200" i="38"/>
  <c r="N200" i="38" s="1"/>
  <c r="K201" i="38"/>
  <c r="K202" i="38"/>
  <c r="N202" i="38" s="1"/>
  <c r="K203" i="38"/>
  <c r="K204" i="38"/>
  <c r="N204" i="38" s="1"/>
  <c r="K205" i="38"/>
  <c r="N205" i="38" s="1"/>
  <c r="K206" i="38"/>
  <c r="K207" i="38"/>
  <c r="K208" i="38"/>
  <c r="K209" i="38"/>
  <c r="K210" i="38"/>
  <c r="K211" i="38"/>
  <c r="N211" i="38" s="1"/>
  <c r="K212" i="38"/>
  <c r="K213" i="38"/>
  <c r="K214" i="38"/>
  <c r="K215" i="38"/>
  <c r="N215" i="38" s="1"/>
  <c r="K216" i="38"/>
  <c r="K217" i="38"/>
  <c r="N217" i="38" s="1"/>
  <c r="K218" i="38"/>
  <c r="K219" i="38"/>
  <c r="N219" i="38" s="1"/>
  <c r="K220" i="38"/>
  <c r="N220" i="38" s="1"/>
  <c r="K221" i="38"/>
  <c r="N221" i="38" s="1"/>
  <c r="K222" i="38"/>
  <c r="K223" i="38"/>
  <c r="N223" i="38" s="1"/>
  <c r="K224" i="38"/>
  <c r="N224" i="38" s="1"/>
  <c r="K225" i="38"/>
  <c r="K226" i="38"/>
  <c r="K227" i="38"/>
  <c r="K31" i="38"/>
  <c r="K32" i="38"/>
  <c r="K33" i="38"/>
  <c r="K34" i="38"/>
  <c r="K35" i="38"/>
  <c r="K36" i="38"/>
  <c r="K37" i="38"/>
  <c r="N37" i="38" s="1"/>
  <c r="C5" i="44" l="1"/>
  <c r="B5" i="44"/>
  <c r="C4" i="44"/>
  <c r="B4" i="44"/>
  <c r="D13" i="44" l="1"/>
  <c r="I60" i="10" l="1"/>
  <c r="I59" i="10"/>
  <c r="I58" i="10"/>
  <c r="I57" i="10"/>
  <c r="I56"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I28" i="10"/>
  <c r="I27" i="10"/>
  <c r="I26" i="10"/>
  <c r="I25" i="10"/>
  <c r="I24" i="10"/>
  <c r="I23" i="10"/>
  <c r="I22" i="10"/>
  <c r="I21" i="10"/>
  <c r="I20" i="10"/>
  <c r="I19" i="10"/>
  <c r="I18" i="10"/>
  <c r="I17" i="10"/>
  <c r="I16" i="10"/>
  <c r="DW21" i="16"/>
  <c r="DW20" i="16"/>
  <c r="DW19" i="16"/>
  <c r="DW18" i="16"/>
  <c r="DW17" i="16"/>
  <c r="DW16" i="16"/>
  <c r="DW14" i="16"/>
  <c r="DW10" i="16"/>
  <c r="DW11" i="16"/>
  <c r="DW12" i="16"/>
  <c r="DW13" i="16"/>
  <c r="DW8" i="16"/>
  <c r="DW9" i="16"/>
  <c r="DW7" i="16"/>
  <c r="C18" i="48"/>
  <c r="B18" i="48"/>
  <c r="G75" i="3" l="1" a="1"/>
  <c r="G75" i="3" s="1"/>
  <c r="J75" i="3"/>
  <c r="P75" i="3" s="1"/>
  <c r="L75" i="3"/>
  <c r="M75" i="3"/>
  <c r="O75" i="3"/>
  <c r="G76" i="3" a="1"/>
  <c r="G76" i="3" s="1"/>
  <c r="J76" i="3"/>
  <c r="P76" i="3" s="1"/>
  <c r="L76" i="3"/>
  <c r="M76" i="3"/>
  <c r="O76" i="3"/>
  <c r="G77" i="3" a="1"/>
  <c r="G77" i="3" s="1"/>
  <c r="J77" i="3"/>
  <c r="P77" i="3" s="1"/>
  <c r="L77" i="3"/>
  <c r="M77" i="3"/>
  <c r="O77" i="3"/>
  <c r="G78" i="3" a="1"/>
  <c r="G78" i="3" s="1"/>
  <c r="J78" i="3"/>
  <c r="P78" i="3" s="1"/>
  <c r="L78" i="3"/>
  <c r="M78" i="3"/>
  <c r="N78" i="3" s="1"/>
  <c r="S78" i="3" s="1" a="1"/>
  <c r="S78" i="3" s="1"/>
  <c r="R78" i="3" s="1"/>
  <c r="O78" i="3"/>
  <c r="G79" i="3" a="1"/>
  <c r="G79" i="3" s="1"/>
  <c r="J79" i="3"/>
  <c r="L79" i="3"/>
  <c r="M79" i="3"/>
  <c r="O79" i="3"/>
  <c r="P79" i="3"/>
  <c r="G80" i="3" a="1"/>
  <c r="G80" i="3" s="1"/>
  <c r="J80" i="3"/>
  <c r="P80" i="3" s="1"/>
  <c r="L80" i="3"/>
  <c r="M80" i="3"/>
  <c r="O80" i="3"/>
  <c r="G81" i="3" a="1"/>
  <c r="G81" i="3" s="1"/>
  <c r="J81" i="3"/>
  <c r="P81" i="3" s="1"/>
  <c r="L81" i="3"/>
  <c r="M81" i="3"/>
  <c r="O81" i="3"/>
  <c r="G82" i="3" a="1"/>
  <c r="G82" i="3" s="1"/>
  <c r="J82" i="3"/>
  <c r="P82" i="3" s="1"/>
  <c r="L82" i="3"/>
  <c r="M82" i="3"/>
  <c r="N82" i="3" s="1"/>
  <c r="S82" i="3" s="1" a="1"/>
  <c r="S82" i="3" s="1"/>
  <c r="R82" i="3" s="1"/>
  <c r="O82" i="3"/>
  <c r="G83" i="3" a="1"/>
  <c r="G83" i="3" s="1"/>
  <c r="J83" i="3"/>
  <c r="P83" i="3" s="1"/>
  <c r="L83" i="3"/>
  <c r="M83" i="3"/>
  <c r="O83" i="3"/>
  <c r="G84" i="3" a="1"/>
  <c r="G84" i="3" s="1"/>
  <c r="J84" i="3"/>
  <c r="P84" i="3" s="1"/>
  <c r="L84" i="3"/>
  <c r="M84" i="3"/>
  <c r="O84" i="3"/>
  <c r="G85" i="3" a="1"/>
  <c r="G85" i="3" s="1"/>
  <c r="J85" i="3"/>
  <c r="P85" i="3" s="1"/>
  <c r="L85" i="3"/>
  <c r="M85" i="3"/>
  <c r="O85" i="3"/>
  <c r="G86" i="3" a="1"/>
  <c r="G86" i="3" s="1"/>
  <c r="J86" i="3"/>
  <c r="P86" i="3" s="1"/>
  <c r="L86" i="3"/>
  <c r="M86" i="3"/>
  <c r="N86" i="3" s="1"/>
  <c r="S86" i="3" s="1" a="1"/>
  <c r="S86" i="3" s="1"/>
  <c r="R86" i="3" s="1"/>
  <c r="O86" i="3"/>
  <c r="G87" i="3" a="1"/>
  <c r="G87" i="3" s="1"/>
  <c r="J87" i="3"/>
  <c r="P87" i="3" s="1"/>
  <c r="L87" i="3"/>
  <c r="M87" i="3"/>
  <c r="O87" i="3"/>
  <c r="G88" i="3" a="1"/>
  <c r="G88" i="3" s="1"/>
  <c r="J88" i="3"/>
  <c r="P88" i="3" s="1"/>
  <c r="L88" i="3"/>
  <c r="M88" i="3"/>
  <c r="O88" i="3"/>
  <c r="G89" i="3" a="1"/>
  <c r="G89" i="3" s="1"/>
  <c r="J89" i="3"/>
  <c r="P89" i="3" s="1"/>
  <c r="L89" i="3"/>
  <c r="M89" i="3"/>
  <c r="O89" i="3"/>
  <c r="G90" i="3" a="1"/>
  <c r="G90" i="3" s="1"/>
  <c r="J90" i="3"/>
  <c r="P90" i="3" s="1"/>
  <c r="L90" i="3"/>
  <c r="M90" i="3"/>
  <c r="N90" i="3" s="1"/>
  <c r="S90" i="3" s="1" a="1"/>
  <c r="S90" i="3" s="1"/>
  <c r="R90" i="3" s="1"/>
  <c r="O90" i="3"/>
  <c r="G91" i="3" a="1"/>
  <c r="G91" i="3" s="1"/>
  <c r="J91" i="3"/>
  <c r="P91" i="3" s="1"/>
  <c r="L91" i="3"/>
  <c r="M91" i="3"/>
  <c r="O91" i="3"/>
  <c r="G92" i="3" a="1"/>
  <c r="G92" i="3" s="1"/>
  <c r="J92" i="3"/>
  <c r="P92" i="3" s="1"/>
  <c r="L92" i="3"/>
  <c r="M92" i="3"/>
  <c r="O92" i="3"/>
  <c r="G30" i="3" a="1"/>
  <c r="G30" i="3" s="1"/>
  <c r="J30" i="3"/>
  <c r="P30" i="3" s="1"/>
  <c r="L30" i="3"/>
  <c r="M30" i="3"/>
  <c r="N30" i="3" s="1"/>
  <c r="S30" i="3" s="1" a="1"/>
  <c r="S30" i="3" s="1"/>
  <c r="R30" i="3" s="1"/>
  <c r="O30" i="3"/>
  <c r="G31" i="3" a="1"/>
  <c r="G31" i="3" s="1"/>
  <c r="J31" i="3"/>
  <c r="P31" i="3" s="1"/>
  <c r="L31" i="3"/>
  <c r="M31" i="3"/>
  <c r="N31" i="3" s="1"/>
  <c r="S31" i="3" s="1" a="1"/>
  <c r="S31" i="3" s="1"/>
  <c r="R31" i="3" s="1"/>
  <c r="O31" i="3"/>
  <c r="G32" i="3" a="1"/>
  <c r="G32" i="3" s="1"/>
  <c r="J32" i="3"/>
  <c r="P32" i="3" s="1"/>
  <c r="L32" i="3"/>
  <c r="M32" i="3"/>
  <c r="O32" i="3"/>
  <c r="G33" i="3" a="1"/>
  <c r="G33" i="3" s="1"/>
  <c r="J33" i="3"/>
  <c r="P33" i="3" s="1"/>
  <c r="L33" i="3"/>
  <c r="M33" i="3"/>
  <c r="O33" i="3"/>
  <c r="G34" i="3" a="1"/>
  <c r="G34" i="3" s="1"/>
  <c r="J34" i="3"/>
  <c r="P34" i="3" s="1"/>
  <c r="L34" i="3"/>
  <c r="M34" i="3"/>
  <c r="N34" i="3" s="1"/>
  <c r="S34" i="3" s="1" a="1"/>
  <c r="S34" i="3" s="1"/>
  <c r="R34" i="3" s="1"/>
  <c r="O34" i="3"/>
  <c r="G35" i="3" a="1"/>
  <c r="G35" i="3" s="1"/>
  <c r="J35" i="3"/>
  <c r="P35" i="3" s="1"/>
  <c r="L35" i="3"/>
  <c r="M35" i="3"/>
  <c r="O35" i="3"/>
  <c r="G36" i="3" a="1"/>
  <c r="G36" i="3" s="1"/>
  <c r="J36" i="3"/>
  <c r="P36" i="3" s="1"/>
  <c r="L36" i="3"/>
  <c r="M36" i="3"/>
  <c r="O36" i="3"/>
  <c r="G37" i="3" a="1"/>
  <c r="G37" i="3" s="1"/>
  <c r="J37" i="3"/>
  <c r="P37" i="3" s="1"/>
  <c r="L37" i="3"/>
  <c r="M37" i="3"/>
  <c r="O37" i="3"/>
  <c r="G38" i="3" a="1"/>
  <c r="G38" i="3" s="1"/>
  <c r="J38" i="3"/>
  <c r="P38" i="3" s="1"/>
  <c r="L38" i="3"/>
  <c r="M38" i="3"/>
  <c r="N38" i="3" s="1"/>
  <c r="S38" i="3" s="1" a="1"/>
  <c r="S38" i="3" s="1"/>
  <c r="R38" i="3" s="1"/>
  <c r="O38" i="3"/>
  <c r="G39" i="3" a="1"/>
  <c r="G39" i="3" s="1"/>
  <c r="J39" i="3"/>
  <c r="P39" i="3" s="1"/>
  <c r="L39" i="3"/>
  <c r="M39" i="3"/>
  <c r="O39" i="3"/>
  <c r="G40" i="3" a="1"/>
  <c r="G40" i="3" s="1"/>
  <c r="J40" i="3"/>
  <c r="P40" i="3" s="1"/>
  <c r="L40" i="3"/>
  <c r="M40" i="3"/>
  <c r="O40" i="3"/>
  <c r="G41" i="3" a="1"/>
  <c r="G41" i="3" s="1"/>
  <c r="J41" i="3"/>
  <c r="P41" i="3" s="1"/>
  <c r="L41" i="3"/>
  <c r="M41" i="3"/>
  <c r="O41" i="3"/>
  <c r="G42" i="3" a="1"/>
  <c r="G42" i="3" s="1"/>
  <c r="J42" i="3"/>
  <c r="P42" i="3" s="1"/>
  <c r="L42" i="3"/>
  <c r="M42" i="3"/>
  <c r="N42" i="3" s="1"/>
  <c r="S42" i="3" s="1" a="1"/>
  <c r="S42" i="3" s="1"/>
  <c r="R42" i="3" s="1"/>
  <c r="O42" i="3"/>
  <c r="G43" i="3" a="1"/>
  <c r="G43" i="3" s="1"/>
  <c r="J43" i="3"/>
  <c r="P43" i="3" s="1"/>
  <c r="L43" i="3"/>
  <c r="M43" i="3"/>
  <c r="N43" i="3" s="1"/>
  <c r="S43" i="3" s="1" a="1"/>
  <c r="S43" i="3" s="1"/>
  <c r="R43" i="3" s="1"/>
  <c r="O43" i="3"/>
  <c r="G44" i="3" a="1"/>
  <c r="G44" i="3" s="1"/>
  <c r="J44" i="3"/>
  <c r="P44" i="3" s="1"/>
  <c r="L44" i="3"/>
  <c r="M44" i="3"/>
  <c r="O44" i="3"/>
  <c r="G45" i="3" a="1"/>
  <c r="G45" i="3" s="1"/>
  <c r="J45" i="3"/>
  <c r="P45" i="3" s="1"/>
  <c r="L45" i="3"/>
  <c r="M45" i="3"/>
  <c r="O45" i="3"/>
  <c r="G46" i="3" a="1"/>
  <c r="G46" i="3" s="1"/>
  <c r="J46" i="3"/>
  <c r="P46" i="3" s="1"/>
  <c r="L46" i="3"/>
  <c r="M46" i="3"/>
  <c r="N46" i="3" s="1"/>
  <c r="S46" i="3" s="1" a="1"/>
  <c r="S46" i="3" s="1"/>
  <c r="R46" i="3" s="1"/>
  <c r="O46" i="3"/>
  <c r="G47" i="3" a="1"/>
  <c r="G47" i="3" s="1"/>
  <c r="J47" i="3"/>
  <c r="P47" i="3" s="1"/>
  <c r="L47" i="3"/>
  <c r="M47" i="3"/>
  <c r="N47" i="3" s="1"/>
  <c r="S47" i="3" s="1" a="1"/>
  <c r="S47" i="3" s="1"/>
  <c r="R47" i="3" s="1"/>
  <c r="O47" i="3"/>
  <c r="G48" i="3" a="1"/>
  <c r="G48" i="3" s="1"/>
  <c r="J48" i="3"/>
  <c r="P48" i="3" s="1"/>
  <c r="L48" i="3"/>
  <c r="M48" i="3"/>
  <c r="O48" i="3"/>
  <c r="G49" i="3" a="1"/>
  <c r="G49" i="3" s="1"/>
  <c r="J49" i="3"/>
  <c r="P49" i="3" s="1"/>
  <c r="L49" i="3"/>
  <c r="M49" i="3"/>
  <c r="O49" i="3"/>
  <c r="G50" i="3" a="1"/>
  <c r="G50" i="3" s="1"/>
  <c r="J50" i="3"/>
  <c r="P50" i="3" s="1"/>
  <c r="L50" i="3"/>
  <c r="M50" i="3"/>
  <c r="N50" i="3" s="1"/>
  <c r="S50" i="3" s="1" a="1"/>
  <c r="S50" i="3" s="1"/>
  <c r="R50" i="3" s="1"/>
  <c r="O50" i="3"/>
  <c r="G51" i="3" a="1"/>
  <c r="G51" i="3" s="1"/>
  <c r="J51" i="3"/>
  <c r="P51" i="3" s="1"/>
  <c r="L51" i="3"/>
  <c r="M51" i="3"/>
  <c r="N51" i="3" s="1"/>
  <c r="S51" i="3" s="1" a="1"/>
  <c r="S51" i="3" s="1"/>
  <c r="R51" i="3" s="1"/>
  <c r="O51" i="3"/>
  <c r="G52" i="3" a="1"/>
  <c r="G52" i="3" s="1"/>
  <c r="J52" i="3"/>
  <c r="P52" i="3" s="1"/>
  <c r="L52" i="3"/>
  <c r="M52" i="3"/>
  <c r="O52" i="3"/>
  <c r="G53" i="3" a="1"/>
  <c r="G53" i="3" s="1"/>
  <c r="J53" i="3"/>
  <c r="P53" i="3" s="1"/>
  <c r="L53" i="3"/>
  <c r="M53" i="3"/>
  <c r="O53" i="3"/>
  <c r="G54" i="3" a="1"/>
  <c r="G54" i="3" s="1"/>
  <c r="J54" i="3"/>
  <c r="P54" i="3" s="1"/>
  <c r="L54" i="3"/>
  <c r="M54" i="3"/>
  <c r="N54" i="3" s="1"/>
  <c r="S54" i="3" s="1" a="1"/>
  <c r="S54" i="3" s="1"/>
  <c r="R54" i="3" s="1"/>
  <c r="O54" i="3"/>
  <c r="G55" i="3" a="1"/>
  <c r="G55" i="3" s="1"/>
  <c r="J55" i="3"/>
  <c r="P55" i="3" s="1"/>
  <c r="L55" i="3"/>
  <c r="M55" i="3"/>
  <c r="N55" i="3" s="1"/>
  <c r="S55" i="3" s="1" a="1"/>
  <c r="S55" i="3" s="1"/>
  <c r="R55" i="3" s="1"/>
  <c r="O55" i="3"/>
  <c r="G56" i="3" a="1"/>
  <c r="G56" i="3" s="1"/>
  <c r="J56" i="3"/>
  <c r="P56" i="3" s="1"/>
  <c r="L56" i="3"/>
  <c r="M56" i="3"/>
  <c r="O56" i="3"/>
  <c r="G57" i="3" a="1"/>
  <c r="G57" i="3" s="1"/>
  <c r="J57" i="3"/>
  <c r="P57" i="3" s="1"/>
  <c r="L57" i="3"/>
  <c r="M57" i="3"/>
  <c r="O57" i="3"/>
  <c r="G58" i="3" a="1"/>
  <c r="G58" i="3" s="1"/>
  <c r="J58" i="3"/>
  <c r="P58" i="3" s="1"/>
  <c r="L58" i="3"/>
  <c r="M58" i="3"/>
  <c r="N58" i="3" s="1"/>
  <c r="S58" i="3" s="1" a="1"/>
  <c r="S58" i="3" s="1"/>
  <c r="R58" i="3" s="1"/>
  <c r="O58" i="3"/>
  <c r="G59" i="3" a="1"/>
  <c r="G59" i="3" s="1"/>
  <c r="J59" i="3"/>
  <c r="P59" i="3" s="1"/>
  <c r="L59" i="3"/>
  <c r="M59" i="3"/>
  <c r="N59" i="3" s="1"/>
  <c r="S59" i="3" s="1" a="1"/>
  <c r="S59" i="3" s="1"/>
  <c r="R59" i="3" s="1"/>
  <c r="O59" i="3"/>
  <c r="G60" i="3" a="1"/>
  <c r="G60" i="3" s="1"/>
  <c r="J60" i="3"/>
  <c r="P60" i="3" s="1"/>
  <c r="L60" i="3"/>
  <c r="M60" i="3"/>
  <c r="O60" i="3"/>
  <c r="H41" i="10"/>
  <c r="F41" i="10" s="1" a="1"/>
  <c r="F41" i="10" s="1"/>
  <c r="H42" i="10"/>
  <c r="F42" i="10" s="1" a="1"/>
  <c r="F42" i="10" s="1"/>
  <c r="H43" i="10"/>
  <c r="F43" i="10" s="1" a="1"/>
  <c r="F43" i="10" s="1"/>
  <c r="H44" i="10"/>
  <c r="F44" i="10" s="1" a="1"/>
  <c r="F44" i="10" s="1"/>
  <c r="H45" i="10"/>
  <c r="F45" i="10" s="1" a="1"/>
  <c r="F45" i="10" s="1"/>
  <c r="H46" i="10"/>
  <c r="F46" i="10" s="1" a="1"/>
  <c r="F46" i="10" s="1"/>
  <c r="H47" i="10"/>
  <c r="F47" i="10" s="1" a="1"/>
  <c r="F47" i="10" s="1"/>
  <c r="H48" i="10"/>
  <c r="F48" i="10" s="1" a="1"/>
  <c r="F48" i="10" s="1"/>
  <c r="H49" i="10"/>
  <c r="F49" i="10" s="1" a="1"/>
  <c r="F49" i="10" s="1"/>
  <c r="H50" i="10"/>
  <c r="F50" i="10" s="1" a="1"/>
  <c r="F50" i="10" s="1"/>
  <c r="H51" i="10"/>
  <c r="H52" i="10"/>
  <c r="H53" i="10"/>
  <c r="H54" i="10"/>
  <c r="C41" i="10"/>
  <c r="C42" i="10"/>
  <c r="C43" i="10"/>
  <c r="C44" i="10"/>
  <c r="C45" i="10"/>
  <c r="C46" i="10"/>
  <c r="C47" i="10"/>
  <c r="C48" i="10"/>
  <c r="C49" i="10"/>
  <c r="C50" i="10"/>
  <c r="E7" i="1"/>
  <c r="N79" i="3" l="1"/>
  <c r="S79" i="3" s="1" a="1"/>
  <c r="S79" i="3" s="1"/>
  <c r="R79" i="3" s="1"/>
  <c r="N77" i="3"/>
  <c r="S77" i="3" s="1" a="1"/>
  <c r="S77" i="3" s="1"/>
  <c r="R77" i="3" s="1"/>
  <c r="N39" i="3"/>
  <c r="S39" i="3" s="1" a="1"/>
  <c r="S39" i="3" s="1"/>
  <c r="R39" i="3" s="1"/>
  <c r="N35" i="3"/>
  <c r="S35" i="3" s="1" a="1"/>
  <c r="S35" i="3" s="1"/>
  <c r="R35" i="3" s="1"/>
  <c r="N89" i="3"/>
  <c r="S89" i="3" s="1" a="1"/>
  <c r="S89" i="3" s="1"/>
  <c r="R89" i="3" s="1"/>
  <c r="N85" i="3"/>
  <c r="S85" i="3" s="1" a="1"/>
  <c r="S85" i="3" s="1"/>
  <c r="R85" i="3" s="1"/>
  <c r="N57" i="3"/>
  <c r="S57" i="3" s="1" a="1"/>
  <c r="S57" i="3" s="1"/>
  <c r="R57" i="3" s="1"/>
  <c r="N53" i="3"/>
  <c r="S53" i="3" s="1" a="1"/>
  <c r="S53" i="3" s="1"/>
  <c r="R53" i="3" s="1"/>
  <c r="N49" i="3"/>
  <c r="S49" i="3" s="1" a="1"/>
  <c r="S49" i="3" s="1"/>
  <c r="R49" i="3" s="1"/>
  <c r="N45" i="3"/>
  <c r="S45" i="3" s="1" a="1"/>
  <c r="S45" i="3" s="1"/>
  <c r="R45" i="3" s="1"/>
  <c r="N41" i="3"/>
  <c r="S41" i="3" s="1" a="1"/>
  <c r="S41" i="3" s="1"/>
  <c r="R41" i="3" s="1"/>
  <c r="N37" i="3"/>
  <c r="S37" i="3" s="1" a="1"/>
  <c r="S37" i="3" s="1"/>
  <c r="R37" i="3" s="1"/>
  <c r="N33" i="3"/>
  <c r="S33" i="3" s="1" a="1"/>
  <c r="S33" i="3" s="1"/>
  <c r="R33" i="3" s="1"/>
  <c r="N92" i="3"/>
  <c r="S92" i="3" s="1" a="1"/>
  <c r="S92" i="3" s="1"/>
  <c r="R92" i="3" s="1"/>
  <c r="N88" i="3"/>
  <c r="S88" i="3" s="1" a="1"/>
  <c r="S88" i="3" s="1"/>
  <c r="R88" i="3" s="1"/>
  <c r="N84" i="3"/>
  <c r="S84" i="3" s="1" a="1"/>
  <c r="S84" i="3" s="1"/>
  <c r="R84" i="3" s="1"/>
  <c r="N81" i="3"/>
  <c r="S81" i="3" s="1" a="1"/>
  <c r="S81" i="3" s="1"/>
  <c r="R81" i="3" s="1"/>
  <c r="N76" i="3"/>
  <c r="S76" i="3" s="1" a="1"/>
  <c r="S76" i="3" s="1"/>
  <c r="R76" i="3" s="1"/>
  <c r="N83" i="3"/>
  <c r="S83" i="3" s="1" a="1"/>
  <c r="S83" i="3" s="1"/>
  <c r="R83" i="3" s="1"/>
  <c r="N75" i="3"/>
  <c r="S75" i="3" s="1" a="1"/>
  <c r="S75" i="3" s="1"/>
  <c r="R75" i="3" s="1"/>
  <c r="N60" i="3"/>
  <c r="S60" i="3" s="1" a="1"/>
  <c r="S60" i="3" s="1"/>
  <c r="R60" i="3" s="1"/>
  <c r="N56" i="3"/>
  <c r="S56" i="3" s="1" a="1"/>
  <c r="S56" i="3" s="1"/>
  <c r="R56" i="3" s="1"/>
  <c r="N52" i="3"/>
  <c r="S52" i="3" s="1" a="1"/>
  <c r="S52" i="3" s="1"/>
  <c r="R52" i="3" s="1"/>
  <c r="N48" i="3"/>
  <c r="S48" i="3" s="1" a="1"/>
  <c r="S48" i="3" s="1"/>
  <c r="R48" i="3" s="1"/>
  <c r="N44" i="3"/>
  <c r="S44" i="3" s="1" a="1"/>
  <c r="S44" i="3" s="1"/>
  <c r="R44" i="3" s="1"/>
  <c r="N40" i="3"/>
  <c r="S40" i="3" s="1" a="1"/>
  <c r="S40" i="3" s="1"/>
  <c r="R40" i="3"/>
  <c r="N36" i="3"/>
  <c r="S36" i="3" s="1" a="1"/>
  <c r="S36" i="3" s="1"/>
  <c r="R36" i="3" s="1"/>
  <c r="N32" i="3"/>
  <c r="S32" i="3" s="1" a="1"/>
  <c r="S32" i="3" s="1"/>
  <c r="R32" i="3" s="1"/>
  <c r="N91" i="3"/>
  <c r="S91" i="3" s="1" a="1"/>
  <c r="S91" i="3" s="1"/>
  <c r="R91" i="3" s="1"/>
  <c r="N87" i="3"/>
  <c r="S87" i="3" s="1" a="1"/>
  <c r="S87" i="3" s="1"/>
  <c r="R87" i="3" s="1"/>
  <c r="N80" i="3"/>
  <c r="S80" i="3" s="1" a="1"/>
  <c r="S80" i="3" s="1"/>
  <c r="R80" i="3" s="1"/>
  <c r="M108" i="3"/>
  <c r="M107" i="3"/>
  <c r="M106" i="3"/>
  <c r="M105" i="3"/>
  <c r="M104" i="3"/>
  <c r="M103" i="3"/>
  <c r="M102" i="3"/>
  <c r="M101" i="3"/>
  <c r="M100" i="3"/>
  <c r="M99" i="3"/>
  <c r="M98" i="3"/>
  <c r="M97" i="3"/>
  <c r="M96" i="3"/>
  <c r="M95" i="3"/>
  <c r="M94" i="3"/>
  <c r="M93" i="3"/>
  <c r="M74" i="3"/>
  <c r="M73" i="3"/>
  <c r="M72" i="3"/>
  <c r="M71" i="3"/>
  <c r="M70" i="3"/>
  <c r="M69" i="3"/>
  <c r="M68" i="3"/>
  <c r="M67" i="3"/>
  <c r="M66" i="3"/>
  <c r="M65" i="3"/>
  <c r="M64" i="3"/>
  <c r="M63" i="3"/>
  <c r="M62" i="3"/>
  <c r="M61" i="3"/>
  <c r="M29" i="3"/>
  <c r="M28" i="3"/>
  <c r="M27" i="3"/>
  <c r="M26" i="3"/>
  <c r="M25" i="3"/>
  <c r="M24" i="3"/>
  <c r="M23" i="3"/>
  <c r="M22" i="3"/>
  <c r="M21" i="3"/>
  <c r="M20" i="3"/>
  <c r="M19" i="3"/>
  <c r="M17" i="3"/>
  <c r="O108" i="3"/>
  <c r="O107" i="3"/>
  <c r="O106" i="3"/>
  <c r="O105" i="3"/>
  <c r="O104" i="3"/>
  <c r="O103" i="3"/>
  <c r="O102" i="3"/>
  <c r="O101" i="3"/>
  <c r="O100" i="3"/>
  <c r="O99" i="3"/>
  <c r="O98" i="3"/>
  <c r="O97" i="3"/>
  <c r="O96" i="3"/>
  <c r="O95" i="3"/>
  <c r="O94" i="3"/>
  <c r="O93" i="3"/>
  <c r="O74" i="3"/>
  <c r="O73" i="3"/>
  <c r="O72" i="3"/>
  <c r="O71" i="3"/>
  <c r="O70" i="3"/>
  <c r="O69" i="3"/>
  <c r="O68" i="3"/>
  <c r="O67" i="3"/>
  <c r="O66" i="3"/>
  <c r="O65" i="3"/>
  <c r="O64" i="3"/>
  <c r="O63" i="3"/>
  <c r="O62" i="3"/>
  <c r="O61" i="3"/>
  <c r="O29" i="3"/>
  <c r="O28" i="3"/>
  <c r="O27" i="3"/>
  <c r="O26" i="3"/>
  <c r="O25" i="3"/>
  <c r="O24" i="3"/>
  <c r="O23" i="3"/>
  <c r="O22" i="3"/>
  <c r="O21" i="3"/>
  <c r="O20" i="3"/>
  <c r="O19" i="3"/>
  <c r="O18" i="3"/>
  <c r="C8" i="44"/>
  <c r="B8" i="44"/>
  <c r="J9" i="43" l="1"/>
  <c r="I9" i="43"/>
  <c r="B7" i="44" l="1"/>
  <c r="G9" i="43" s="1"/>
  <c r="H113" i="41"/>
  <c r="H112" i="41"/>
  <c r="H111" i="41"/>
  <c r="H110" i="41"/>
  <c r="H109" i="41"/>
  <c r="H108" i="41"/>
  <c r="H107" i="41"/>
  <c r="H106" i="41"/>
  <c r="H105" i="41"/>
  <c r="H104" i="41"/>
  <c r="H103" i="41"/>
  <c r="H102" i="41"/>
  <c r="H101" i="41"/>
  <c r="H100" i="41"/>
  <c r="H99" i="41"/>
  <c r="H98" i="41"/>
  <c r="H97" i="41"/>
  <c r="H96" i="41"/>
  <c r="H95" i="41"/>
  <c r="H94" i="41"/>
  <c r="H93" i="41"/>
  <c r="H92" i="41"/>
  <c r="H91" i="41"/>
  <c r="H90" i="41"/>
  <c r="H89" i="41"/>
  <c r="H88" i="41"/>
  <c r="H87" i="41"/>
  <c r="H86" i="41"/>
  <c r="H85" i="41"/>
  <c r="H84" i="41"/>
  <c r="H83" i="41"/>
  <c r="H82" i="41"/>
  <c r="H81" i="41"/>
  <c r="H80" i="41"/>
  <c r="H79" i="41"/>
  <c r="H78" i="41"/>
  <c r="H77" i="41"/>
  <c r="H76" i="41"/>
  <c r="H75" i="41"/>
  <c r="H74" i="41"/>
  <c r="H73" i="41"/>
  <c r="H72" i="41"/>
  <c r="H71" i="41"/>
  <c r="H70" i="41"/>
  <c r="H69" i="41"/>
  <c r="H67" i="41"/>
  <c r="H66" i="41"/>
  <c r="H65" i="41"/>
  <c r="H64" i="41"/>
  <c r="H63" i="41"/>
  <c r="H62" i="41"/>
  <c r="H61" i="41"/>
  <c r="H60" i="41"/>
  <c r="H59" i="41"/>
  <c r="H58" i="41"/>
  <c r="H57" i="41"/>
  <c r="H56" i="41"/>
  <c r="H55" i="41"/>
  <c r="H54" i="41"/>
  <c r="H53" i="41"/>
  <c r="H51" i="41"/>
  <c r="H50" i="41"/>
  <c r="H49" i="41"/>
  <c r="H48" i="41"/>
  <c r="H47" i="41"/>
  <c r="H46" i="41"/>
  <c r="H45" i="41"/>
  <c r="H44" i="41"/>
  <c r="H43" i="41"/>
  <c r="H42" i="41"/>
  <c r="H41" i="41"/>
  <c r="H40" i="41"/>
  <c r="H39" i="41"/>
  <c r="H38" i="41"/>
  <c r="H37" i="41"/>
  <c r="H36" i="41"/>
  <c r="H35" i="41"/>
  <c r="H34" i="41"/>
  <c r="H33" i="41"/>
  <c r="H32" i="41"/>
  <c r="H31" i="41"/>
  <c r="H29" i="41"/>
  <c r="H28" i="41"/>
  <c r="H27" i="41"/>
  <c r="H26" i="41"/>
  <c r="H25" i="41"/>
  <c r="H24" i="41"/>
  <c r="H22" i="41"/>
  <c r="H21" i="41"/>
  <c r="H20" i="41"/>
  <c r="H19" i="41"/>
  <c r="E376" i="16" l="1"/>
  <c r="Q13" i="2" s="1"/>
  <c r="C20" i="48" l="1"/>
  <c r="B20" i="48"/>
  <c r="R13" i="44"/>
  <c r="D205" i="44"/>
  <c r="D204" i="44"/>
  <c r="D203" i="44"/>
  <c r="D202" i="44"/>
  <c r="D201" i="44"/>
  <c r="D200" i="44"/>
  <c r="D199" i="44"/>
  <c r="D198" i="44"/>
  <c r="D197" i="44"/>
  <c r="D196" i="44"/>
  <c r="D195" i="44"/>
  <c r="D194" i="44"/>
  <c r="D193" i="44"/>
  <c r="D192" i="44"/>
  <c r="D191" i="44"/>
  <c r="D190" i="44"/>
  <c r="D189" i="44"/>
  <c r="D188" i="44"/>
  <c r="D187" i="44"/>
  <c r="D186" i="44"/>
  <c r="D185" i="44"/>
  <c r="D184" i="44"/>
  <c r="D183" i="44"/>
  <c r="D182" i="44"/>
  <c r="D181" i="44"/>
  <c r="D180" i="44"/>
  <c r="D179" i="44"/>
  <c r="D178" i="44"/>
  <c r="D177" i="44"/>
  <c r="D176" i="44"/>
  <c r="D175" i="44"/>
  <c r="D174" i="44"/>
  <c r="D173" i="44"/>
  <c r="D172" i="44"/>
  <c r="D171" i="44"/>
  <c r="D170" i="44"/>
  <c r="D169" i="44"/>
  <c r="D168" i="44"/>
  <c r="D167" i="44"/>
  <c r="D166" i="44"/>
  <c r="D165" i="44"/>
  <c r="D164" i="44"/>
  <c r="D163" i="44"/>
  <c r="D162" i="44"/>
  <c r="D161" i="44"/>
  <c r="D160" i="44"/>
  <c r="D159" i="44"/>
  <c r="D158" i="44"/>
  <c r="D157" i="44"/>
  <c r="D156" i="44"/>
  <c r="D155" i="44"/>
  <c r="D154" i="44"/>
  <c r="D153" i="44"/>
  <c r="D152" i="44"/>
  <c r="D151" i="44"/>
  <c r="D150" i="44"/>
  <c r="D149" i="44"/>
  <c r="D148" i="44"/>
  <c r="D147" i="44"/>
  <c r="D146" i="44"/>
  <c r="D145" i="44"/>
  <c r="D144" i="44"/>
  <c r="D143" i="44"/>
  <c r="D142" i="44"/>
  <c r="D141" i="44"/>
  <c r="D140" i="44"/>
  <c r="D139" i="44"/>
  <c r="D138" i="44"/>
  <c r="D137" i="44"/>
  <c r="D136" i="44"/>
  <c r="D135" i="44"/>
  <c r="D134" i="44"/>
  <c r="D133" i="44"/>
  <c r="D132" i="44"/>
  <c r="D131" i="44"/>
  <c r="D130" i="44"/>
  <c r="D129" i="44"/>
  <c r="D128" i="44"/>
  <c r="D127" i="44"/>
  <c r="D126" i="44"/>
  <c r="D125" i="44"/>
  <c r="D124" i="44"/>
  <c r="D123" i="44"/>
  <c r="D122" i="44"/>
  <c r="D121" i="44"/>
  <c r="D120" i="44"/>
  <c r="D119" i="44"/>
  <c r="D118" i="44"/>
  <c r="D117" i="44"/>
  <c r="D116" i="44"/>
  <c r="D115" i="44"/>
  <c r="D114" i="44"/>
  <c r="D113" i="44"/>
  <c r="D112" i="44"/>
  <c r="D111" i="44"/>
  <c r="D110" i="44"/>
  <c r="D109" i="44"/>
  <c r="D108" i="44"/>
  <c r="D107" i="44"/>
  <c r="D106" i="44"/>
  <c r="D105" i="44"/>
  <c r="D104" i="44"/>
  <c r="D103" i="44"/>
  <c r="D102" i="44"/>
  <c r="D101" i="44"/>
  <c r="D100" i="44"/>
  <c r="D99" i="44"/>
  <c r="D98" i="44"/>
  <c r="D97" i="44"/>
  <c r="D96" i="44"/>
  <c r="D95" i="44"/>
  <c r="D94" i="44"/>
  <c r="D93" i="44"/>
  <c r="D92" i="44"/>
  <c r="D91" i="44"/>
  <c r="D90" i="44"/>
  <c r="D89" i="44"/>
  <c r="D88" i="44"/>
  <c r="D87" i="44"/>
  <c r="D86" i="44"/>
  <c r="D85" i="44"/>
  <c r="D84" i="44"/>
  <c r="D83" i="44"/>
  <c r="D82" i="44"/>
  <c r="D81" i="44"/>
  <c r="D80" i="44"/>
  <c r="D79" i="44"/>
  <c r="D78" i="44"/>
  <c r="D77" i="44"/>
  <c r="D76" i="44"/>
  <c r="D75" i="44"/>
  <c r="D74" i="44"/>
  <c r="D73" i="44"/>
  <c r="D72" i="44"/>
  <c r="D71" i="44"/>
  <c r="D70" i="44"/>
  <c r="D69" i="44"/>
  <c r="D68" i="44"/>
  <c r="D67" i="44"/>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C19" i="48"/>
  <c r="F33" i="16" l="1"/>
  <c r="G33" i="16"/>
  <c r="H33" i="16"/>
  <c r="E33" i="16"/>
  <c r="F32" i="16"/>
  <c r="G32" i="16"/>
  <c r="H32" i="16"/>
  <c r="E32" i="16"/>
  <c r="F31" i="16"/>
  <c r="G31" i="16"/>
  <c r="H31" i="16"/>
  <c r="E31" i="16"/>
  <c r="F37" i="16"/>
  <c r="G37" i="16"/>
  <c r="H37" i="16"/>
  <c r="E37" i="16"/>
  <c r="F36" i="16"/>
  <c r="G36" i="16"/>
  <c r="H36" i="16"/>
  <c r="E36" i="16"/>
  <c r="F35" i="16"/>
  <c r="G35" i="16"/>
  <c r="H35" i="16"/>
  <c r="E35" i="16"/>
  <c r="N27" i="38" l="1"/>
  <c r="O112" i="38"/>
  <c r="O111" i="38"/>
  <c r="O175" i="38"/>
  <c r="N22" i="49" l="1"/>
  <c r="N21" i="49"/>
  <c r="N20" i="49"/>
  <c r="N19" i="49"/>
  <c r="N18" i="49"/>
  <c r="N17" i="49"/>
  <c r="N16" i="49"/>
  <c r="N15" i="49"/>
  <c r="N14" i="49"/>
  <c r="N13" i="49"/>
  <c r="B6" i="49"/>
  <c r="B5" i="49"/>
  <c r="M258" i="17" l="1"/>
  <c r="M257" i="17"/>
  <c r="M256" i="17"/>
  <c r="M255" i="17"/>
  <c r="M254" i="17"/>
  <c r="M253" i="17"/>
  <c r="M252" i="17"/>
  <c r="M251" i="17"/>
  <c r="M250" i="17"/>
  <c r="M249" i="17"/>
  <c r="M248" i="17"/>
  <c r="M247" i="17"/>
  <c r="M246" i="17"/>
  <c r="M245" i="17"/>
  <c r="M244" i="17"/>
  <c r="M243" i="17"/>
  <c r="M242" i="17"/>
  <c r="M241" i="17"/>
  <c r="M240" i="17"/>
  <c r="M239" i="17"/>
  <c r="M238" i="17"/>
  <c r="M237" i="17"/>
  <c r="M236" i="17"/>
  <c r="M235" i="17"/>
  <c r="M234" i="17"/>
  <c r="M233" i="17"/>
  <c r="M232" i="17"/>
  <c r="M231" i="17"/>
  <c r="M230" i="17"/>
  <c r="M229" i="17"/>
  <c r="M226" i="17"/>
  <c r="M225" i="17"/>
  <c r="M224" i="17"/>
  <c r="M223" i="17"/>
  <c r="M222" i="17"/>
  <c r="M221" i="17"/>
  <c r="M220" i="17"/>
  <c r="M219" i="17"/>
  <c r="M218" i="17"/>
  <c r="M217" i="17"/>
  <c r="M216" i="17"/>
  <c r="M215" i="17"/>
  <c r="M214" i="17"/>
  <c r="M213" i="17"/>
  <c r="M212" i="17"/>
  <c r="M211" i="17"/>
  <c r="M210" i="17"/>
  <c r="M209" i="17"/>
  <c r="M208" i="17"/>
  <c r="M207" i="17"/>
  <c r="M206" i="17"/>
  <c r="M205" i="17"/>
  <c r="M204" i="17"/>
  <c r="M203" i="17"/>
  <c r="M202" i="17"/>
  <c r="M201" i="17"/>
  <c r="M200" i="17"/>
  <c r="M199" i="17"/>
  <c r="M198" i="17"/>
  <c r="M197" i="17"/>
  <c r="M196" i="17"/>
  <c r="M195" i="17"/>
  <c r="M194" i="17"/>
  <c r="M193" i="17"/>
  <c r="M192" i="17"/>
  <c r="M191" i="17"/>
  <c r="M190" i="17"/>
  <c r="M189" i="17"/>
  <c r="M188" i="17"/>
  <c r="M187" i="17"/>
  <c r="M186" i="17"/>
  <c r="M185" i="17"/>
  <c r="M184" i="17"/>
  <c r="M183" i="17"/>
  <c r="M182" i="17"/>
  <c r="M181" i="17"/>
  <c r="M180" i="17"/>
  <c r="M179" i="17"/>
  <c r="M178" i="17"/>
  <c r="M177" i="17"/>
  <c r="M174" i="17"/>
  <c r="M173" i="17"/>
  <c r="M172" i="17"/>
  <c r="M171" i="17"/>
  <c r="M170" i="17"/>
  <c r="M169" i="17"/>
  <c r="M168" i="17"/>
  <c r="M167" i="17"/>
  <c r="M166" i="17"/>
  <c r="M165" i="17"/>
  <c r="M164" i="17"/>
  <c r="M163" i="17"/>
  <c r="M162" i="17"/>
  <c r="M161" i="17"/>
  <c r="M160" i="17"/>
  <c r="M159" i="17"/>
  <c r="M158" i="17"/>
  <c r="M157" i="17"/>
  <c r="M156" i="17"/>
  <c r="M155" i="17"/>
  <c r="M154" i="17"/>
  <c r="M153" i="17"/>
  <c r="M152" i="17"/>
  <c r="M151" i="17"/>
  <c r="M150" i="17"/>
  <c r="M149" i="17"/>
  <c r="M148" i="17"/>
  <c r="M147" i="17"/>
  <c r="M146" i="17"/>
  <c r="M145" i="17"/>
  <c r="M142" i="17"/>
  <c r="M141" i="17"/>
  <c r="M140" i="17"/>
  <c r="M139" i="17"/>
  <c r="M138" i="17"/>
  <c r="M137" i="17"/>
  <c r="M136" i="17"/>
  <c r="M135" i="17"/>
  <c r="M134" i="17"/>
  <c r="M133" i="17"/>
  <c r="M132" i="17"/>
  <c r="M131" i="17"/>
  <c r="M130" i="17"/>
  <c r="M129" i="17"/>
  <c r="M128" i="17"/>
  <c r="M127" i="17"/>
  <c r="M126" i="17"/>
  <c r="M125" i="17"/>
  <c r="M124" i="17"/>
  <c r="M123" i="17"/>
  <c r="M122" i="17"/>
  <c r="M121" i="17"/>
  <c r="M120" i="17"/>
  <c r="M119" i="17"/>
  <c r="M118" i="17"/>
  <c r="M117" i="17"/>
  <c r="M116" i="17"/>
  <c r="M115" i="17"/>
  <c r="M114" i="17"/>
  <c r="M113" i="17"/>
  <c r="M110" i="17"/>
  <c r="M109" i="17"/>
  <c r="M108" i="17"/>
  <c r="M107" i="17"/>
  <c r="M106" i="17"/>
  <c r="M105" i="17"/>
  <c r="M104" i="17"/>
  <c r="M103" i="17"/>
  <c r="M102" i="17"/>
  <c r="M101" i="17"/>
  <c r="M100" i="17"/>
  <c r="M99" i="17"/>
  <c r="M98" i="17"/>
  <c r="M97" i="17"/>
  <c r="M96" i="17"/>
  <c r="M95" i="17"/>
  <c r="M94" i="17"/>
  <c r="M93" i="17"/>
  <c r="M92" i="17"/>
  <c r="M91" i="17"/>
  <c r="M90" i="17"/>
  <c r="M89" i="17"/>
  <c r="M88" i="17"/>
  <c r="M87" i="17"/>
  <c r="M86" i="17"/>
  <c r="M85" i="17"/>
  <c r="M84" i="17"/>
  <c r="M83" i="17"/>
  <c r="M82" i="17"/>
  <c r="M81" i="17"/>
  <c r="M78" i="17"/>
  <c r="M77" i="17"/>
  <c r="M76" i="17"/>
  <c r="M75" i="17"/>
  <c r="M74" i="17"/>
  <c r="M73" i="17"/>
  <c r="M72" i="17"/>
  <c r="M71" i="17"/>
  <c r="M70" i="17"/>
  <c r="M69" i="17"/>
  <c r="M68" i="17"/>
  <c r="M67" i="17"/>
  <c r="M66" i="17"/>
  <c r="M65" i="17"/>
  <c r="M64" i="17"/>
  <c r="M63" i="17"/>
  <c r="M62" i="17"/>
  <c r="M61" i="17"/>
  <c r="M60" i="17"/>
  <c r="M59" i="17"/>
  <c r="M58" i="17"/>
  <c r="M57" i="17"/>
  <c r="M56" i="17"/>
  <c r="M55" i="17"/>
  <c r="M54" i="17"/>
  <c r="M53" i="17"/>
  <c r="M52" i="17"/>
  <c r="M51" i="17"/>
  <c r="M50" i="17"/>
  <c r="M49" i="17"/>
  <c r="M46" i="17"/>
  <c r="M45" i="17"/>
  <c r="M44" i="17"/>
  <c r="M43" i="17"/>
  <c r="M42" i="17"/>
  <c r="M41" i="17"/>
  <c r="M40" i="17"/>
  <c r="M39" i="17"/>
  <c r="M38" i="17"/>
  <c r="M37" i="17"/>
  <c r="M36" i="17"/>
  <c r="M35" i="17"/>
  <c r="M34" i="17"/>
  <c r="M33" i="17"/>
  <c r="M32" i="17"/>
  <c r="M31" i="17"/>
  <c r="M30" i="17"/>
  <c r="M29" i="17"/>
  <c r="M28" i="17"/>
  <c r="M27" i="17"/>
  <c r="M26" i="17"/>
  <c r="M25" i="17"/>
  <c r="M24" i="17"/>
  <c r="M23" i="17"/>
  <c r="M22" i="17"/>
  <c r="M21" i="17"/>
  <c r="M20" i="17"/>
  <c r="M19" i="17"/>
  <c r="M18" i="17"/>
  <c r="M17" i="17"/>
  <c r="M16" i="17"/>
  <c r="Q61" i="27"/>
  <c r="P61" i="27"/>
  <c r="O61" i="27"/>
  <c r="Q60" i="27"/>
  <c r="P60" i="27"/>
  <c r="O60" i="27"/>
  <c r="Q59" i="27"/>
  <c r="P59" i="27"/>
  <c r="O59" i="27"/>
  <c r="Q58" i="27"/>
  <c r="P58" i="27"/>
  <c r="O58" i="27"/>
  <c r="Q57" i="27"/>
  <c r="P57" i="27"/>
  <c r="O57" i="27"/>
  <c r="Q56" i="27"/>
  <c r="P56" i="27"/>
  <c r="O56" i="27"/>
  <c r="Q55" i="27"/>
  <c r="P55" i="27"/>
  <c r="O55" i="27"/>
  <c r="Q54" i="27"/>
  <c r="P54" i="27"/>
  <c r="O54" i="27"/>
  <c r="Q53" i="27"/>
  <c r="P53" i="27"/>
  <c r="O53" i="27"/>
  <c r="Q52" i="27"/>
  <c r="P52" i="27"/>
  <c r="O52" i="27"/>
  <c r="Q51" i="27"/>
  <c r="P51" i="27"/>
  <c r="O51" i="27"/>
  <c r="Q50" i="27"/>
  <c r="P50" i="27"/>
  <c r="O50" i="27"/>
  <c r="Q49" i="27"/>
  <c r="P49" i="27"/>
  <c r="O49" i="27"/>
  <c r="Q48" i="27"/>
  <c r="P48" i="27"/>
  <c r="O48" i="27"/>
  <c r="Q47" i="27"/>
  <c r="P47" i="27"/>
  <c r="O47" i="27"/>
  <c r="Q46" i="27"/>
  <c r="P46" i="27"/>
  <c r="O46" i="27"/>
  <c r="Q45" i="27"/>
  <c r="P45" i="27"/>
  <c r="O45" i="27"/>
  <c r="Q44" i="27"/>
  <c r="P44" i="27"/>
  <c r="O44" i="27"/>
  <c r="Q43" i="27"/>
  <c r="P43" i="27"/>
  <c r="O43" i="27"/>
  <c r="Q42" i="27"/>
  <c r="P42" i="27"/>
  <c r="O42" i="27"/>
  <c r="Q41" i="27"/>
  <c r="P41" i="27"/>
  <c r="O41" i="27"/>
  <c r="Q40" i="27"/>
  <c r="P40" i="27"/>
  <c r="O40" i="27"/>
  <c r="Q39" i="27"/>
  <c r="P39" i="27"/>
  <c r="O39" i="27"/>
  <c r="Q38" i="27"/>
  <c r="P38" i="27"/>
  <c r="O38" i="27"/>
  <c r="Q37" i="27"/>
  <c r="P37" i="27"/>
  <c r="O37" i="27"/>
  <c r="Q36" i="27"/>
  <c r="P36" i="27"/>
  <c r="O36" i="27"/>
  <c r="Q35" i="27"/>
  <c r="P35" i="27"/>
  <c r="O35" i="27"/>
  <c r="Q34" i="27"/>
  <c r="P34" i="27"/>
  <c r="O34" i="27"/>
  <c r="Q33" i="27"/>
  <c r="P33" i="27"/>
  <c r="O33" i="27"/>
  <c r="Q32" i="27"/>
  <c r="P32" i="27"/>
  <c r="O32" i="27"/>
  <c r="Q31" i="27"/>
  <c r="P31" i="27"/>
  <c r="O31" i="27"/>
  <c r="Q30" i="27"/>
  <c r="P30" i="27"/>
  <c r="O30" i="27"/>
  <c r="Q29" i="27"/>
  <c r="P29" i="27"/>
  <c r="O29" i="27"/>
  <c r="Q28" i="27"/>
  <c r="P28" i="27"/>
  <c r="O28" i="27"/>
  <c r="Q27" i="27"/>
  <c r="P27" i="27"/>
  <c r="O27" i="27"/>
  <c r="Q26" i="27"/>
  <c r="P26" i="27"/>
  <c r="O26" i="27"/>
  <c r="Q25" i="27"/>
  <c r="P25" i="27"/>
  <c r="O25" i="27"/>
  <c r="Q24" i="27"/>
  <c r="P24" i="27"/>
  <c r="O24" i="27"/>
  <c r="Q23" i="27"/>
  <c r="P23" i="27"/>
  <c r="O23" i="27"/>
  <c r="Q22" i="27"/>
  <c r="P22" i="27"/>
  <c r="O22" i="27"/>
  <c r="Q21" i="27"/>
  <c r="P21" i="27"/>
  <c r="O21" i="27"/>
  <c r="Q20" i="27"/>
  <c r="P20" i="27"/>
  <c r="O20" i="27"/>
  <c r="Q19" i="27"/>
  <c r="P19" i="27"/>
  <c r="O19" i="27"/>
  <c r="Q18" i="27"/>
  <c r="P18" i="27"/>
  <c r="O18" i="27"/>
  <c r="Q17" i="27"/>
  <c r="P17" i="27"/>
  <c r="O17" i="27"/>
  <c r="Q16" i="27"/>
  <c r="P16" i="27"/>
  <c r="O16" i="27"/>
  <c r="Q15" i="27"/>
  <c r="P15" i="27"/>
  <c r="O15" i="27"/>
  <c r="Q14" i="27"/>
  <c r="P14" i="27"/>
  <c r="O14" i="27"/>
  <c r="V54" i="5"/>
  <c r="V53" i="5"/>
  <c r="V52" i="5"/>
  <c r="V51" i="5"/>
  <c r="V50" i="5"/>
  <c r="V49" i="5"/>
  <c r="V48" i="5"/>
  <c r="V47" i="5"/>
  <c r="V46" i="5"/>
  <c r="V45" i="5"/>
  <c r="V44" i="5"/>
  <c r="V43" i="5"/>
  <c r="V42" i="5"/>
  <c r="V41" i="5"/>
  <c r="V40" i="5"/>
  <c r="V39" i="5"/>
  <c r="V38" i="5"/>
  <c r="V37" i="5"/>
  <c r="V36" i="5"/>
  <c r="V35" i="5"/>
  <c r="V34" i="5"/>
  <c r="V33" i="5"/>
  <c r="V32" i="5"/>
  <c r="V31" i="5"/>
  <c r="V29" i="5"/>
  <c r="V28" i="5"/>
  <c r="V27" i="5"/>
  <c r="V26" i="5"/>
  <c r="V25" i="5"/>
  <c r="V19" i="5"/>
  <c r="V18" i="5"/>
  <c r="V17" i="5"/>
  <c r="O17" i="3"/>
  <c r="M18" i="3"/>
  <c r="EL7" i="16" l="1"/>
  <c r="EM7" i="16"/>
  <c r="EN7" i="16"/>
  <c r="EL8" i="16"/>
  <c r="EM8" i="16"/>
  <c r="EN8" i="16"/>
  <c r="EL9" i="16"/>
  <c r="EM9" i="16"/>
  <c r="EN9" i="16"/>
  <c r="EL10" i="16"/>
  <c r="EM10" i="16"/>
  <c r="EN10" i="16"/>
  <c r="EL11" i="16"/>
  <c r="EM11" i="16"/>
  <c r="EN11" i="16"/>
  <c r="EL12" i="16"/>
  <c r="EM12" i="16"/>
  <c r="EN12" i="16"/>
  <c r="EL14" i="16"/>
  <c r="EM14" i="16"/>
  <c r="EN14" i="16"/>
  <c r="EL16" i="16"/>
  <c r="EM16" i="16"/>
  <c r="EN16" i="16"/>
  <c r="EL18" i="16"/>
  <c r="EM18" i="16"/>
  <c r="EN18" i="16"/>
  <c r="EL20" i="16"/>
  <c r="EM20" i="16"/>
  <c r="EN20" i="16"/>
  <c r="EL22" i="16"/>
  <c r="EM22" i="16"/>
  <c r="EN22" i="16"/>
  <c r="EL24" i="16"/>
  <c r="EM24" i="16"/>
  <c r="EN24" i="16"/>
  <c r="EL26" i="16"/>
  <c r="EM26" i="16"/>
  <c r="EN26" i="16"/>
  <c r="EL28" i="16"/>
  <c r="EM28" i="16"/>
  <c r="EN28" i="16"/>
  <c r="EL30" i="16"/>
  <c r="EM30" i="16"/>
  <c r="EN30" i="16"/>
  <c r="EL32" i="16"/>
  <c r="EM32" i="16"/>
  <c r="EN32" i="16"/>
  <c r="EL34" i="16"/>
  <c r="EM34" i="16"/>
  <c r="EN34" i="16"/>
  <c r="EL35" i="16"/>
  <c r="EM35" i="16"/>
  <c r="EN35" i="16"/>
  <c r="EL36" i="16"/>
  <c r="EM36" i="16"/>
  <c r="EN36" i="16"/>
  <c r="EL37" i="16"/>
  <c r="EM37" i="16"/>
  <c r="EN37" i="16"/>
  <c r="EL38" i="16"/>
  <c r="EM38" i="16"/>
  <c r="EN38" i="16"/>
  <c r="EL39" i="16"/>
  <c r="EM39" i="16"/>
  <c r="EN39" i="16"/>
  <c r="EL40" i="16"/>
  <c r="EM40" i="16"/>
  <c r="EN40" i="16"/>
  <c r="EL41" i="16"/>
  <c r="EM41" i="16"/>
  <c r="EN41" i="16"/>
  <c r="EL43" i="16"/>
  <c r="EM43" i="16"/>
  <c r="EN43" i="16"/>
  <c r="EL45" i="16"/>
  <c r="EM45" i="16"/>
  <c r="EN45" i="16"/>
  <c r="CA7" i="16"/>
  <c r="CB7" i="16"/>
  <c r="CC7" i="16"/>
  <c r="CA8" i="16"/>
  <c r="CB8" i="16"/>
  <c r="CC8" i="16"/>
  <c r="CA9" i="16"/>
  <c r="CB9" i="16"/>
  <c r="CC9" i="16"/>
  <c r="CA10" i="16"/>
  <c r="CB10" i="16"/>
  <c r="CC10" i="16"/>
  <c r="CA11" i="16"/>
  <c r="CB11" i="16"/>
  <c r="CC11" i="16"/>
  <c r="CA12" i="16"/>
  <c r="CB12" i="16"/>
  <c r="CC12" i="16"/>
  <c r="CA14" i="16"/>
  <c r="CB14" i="16"/>
  <c r="CC14" i="16"/>
  <c r="CA16" i="16"/>
  <c r="CB16" i="16"/>
  <c r="CC16" i="16"/>
  <c r="CA18" i="16"/>
  <c r="CB18" i="16"/>
  <c r="CC18" i="16"/>
  <c r="CA20" i="16"/>
  <c r="CB20" i="16"/>
  <c r="CC20" i="16"/>
  <c r="CA22" i="16"/>
  <c r="CB22" i="16"/>
  <c r="CC22" i="16"/>
  <c r="CA24" i="16"/>
  <c r="CB24" i="16"/>
  <c r="CC24" i="16"/>
  <c r="CA26" i="16"/>
  <c r="CB26" i="16"/>
  <c r="CC26" i="16"/>
  <c r="CA28" i="16"/>
  <c r="CB28" i="16"/>
  <c r="CC28" i="16"/>
  <c r="CA30" i="16"/>
  <c r="CB30" i="16"/>
  <c r="CC30" i="16"/>
  <c r="CA32" i="16"/>
  <c r="CB32" i="16"/>
  <c r="CC32" i="16"/>
  <c r="CA33" i="16"/>
  <c r="CB33" i="16"/>
  <c r="CC33" i="16"/>
  <c r="CA34" i="16"/>
  <c r="CB34" i="16"/>
  <c r="CC34" i="16"/>
  <c r="CA35" i="16"/>
  <c r="CB35" i="16"/>
  <c r="CC35" i="16"/>
  <c r="CA36" i="16"/>
  <c r="CB36" i="16"/>
  <c r="CC36" i="16"/>
  <c r="CA37" i="16"/>
  <c r="CB37" i="16"/>
  <c r="CC37" i="16"/>
  <c r="CA38" i="16"/>
  <c r="CB38" i="16"/>
  <c r="CC38" i="16"/>
  <c r="CA39" i="16"/>
  <c r="CB39" i="16"/>
  <c r="CC39" i="16"/>
  <c r="CA41" i="16"/>
  <c r="CB41" i="16"/>
  <c r="CC41" i="16"/>
  <c r="CA43" i="16"/>
  <c r="CB43" i="16"/>
  <c r="CC43" i="16"/>
  <c r="AT7" i="16"/>
  <c r="AU7" i="16"/>
  <c r="AV7" i="16"/>
  <c r="AT10" i="16"/>
  <c r="AU10" i="16"/>
  <c r="AV10" i="16"/>
  <c r="AT13" i="16"/>
  <c r="AU13" i="16"/>
  <c r="AV13" i="16"/>
  <c r="AT16" i="16"/>
  <c r="AU16" i="16"/>
  <c r="AV16" i="16"/>
  <c r="AT19" i="16"/>
  <c r="AU19" i="16"/>
  <c r="AV19" i="16"/>
  <c r="AT22" i="16"/>
  <c r="AU22" i="16"/>
  <c r="AV22" i="16"/>
  <c r="AT25" i="16"/>
  <c r="AU25" i="16"/>
  <c r="AV25" i="16"/>
  <c r="AT28" i="16"/>
  <c r="AU28" i="16"/>
  <c r="AV28" i="16"/>
  <c r="AT31" i="16"/>
  <c r="AU31" i="16"/>
  <c r="AV31" i="16"/>
  <c r="AT34" i="16"/>
  <c r="AU34" i="16"/>
  <c r="AV34" i="16"/>
  <c r="AT37" i="16"/>
  <c r="AU37" i="16"/>
  <c r="AV37" i="16"/>
  <c r="AT40" i="16"/>
  <c r="AU40" i="16"/>
  <c r="AV40" i="16"/>
  <c r="AT43" i="16"/>
  <c r="AU43" i="16"/>
  <c r="AV43" i="16"/>
  <c r="AT46" i="16"/>
  <c r="AU46" i="16"/>
  <c r="AV46" i="16"/>
  <c r="AT49" i="16"/>
  <c r="AU49" i="16"/>
  <c r="AV49" i="16"/>
  <c r="AT53" i="16"/>
  <c r="AU53" i="16"/>
  <c r="AV53" i="16"/>
  <c r="AT54" i="16"/>
  <c r="AU54" i="16"/>
  <c r="AV54" i="16"/>
  <c r="AT56" i="16"/>
  <c r="AU56" i="16"/>
  <c r="AV56" i="16"/>
  <c r="AT57" i="16"/>
  <c r="AU57" i="16"/>
  <c r="AV57" i="16"/>
  <c r="AT59" i="16"/>
  <c r="AU59" i="16"/>
  <c r="AV59" i="16"/>
  <c r="AT60" i="16"/>
  <c r="AU60" i="16"/>
  <c r="AV60" i="16"/>
  <c r="AT62" i="16"/>
  <c r="AU62" i="16"/>
  <c r="AV62" i="16"/>
  <c r="AT63" i="16"/>
  <c r="AU63" i="16"/>
  <c r="AV63" i="16"/>
  <c r="AT65" i="16"/>
  <c r="AU65" i="16"/>
  <c r="AV65" i="16"/>
  <c r="AT66" i="16"/>
  <c r="AU66" i="16"/>
  <c r="AV66" i="16"/>
  <c r="AT68" i="16"/>
  <c r="AU68" i="16"/>
  <c r="AV68" i="16"/>
  <c r="AT69" i="16"/>
  <c r="AU69" i="16"/>
  <c r="AV69" i="16"/>
  <c r="AT70" i="16"/>
  <c r="AU70" i="16"/>
  <c r="AV70" i="16"/>
  <c r="AT71" i="16"/>
  <c r="AU71" i="16"/>
  <c r="AV71" i="16"/>
  <c r="AT73" i="16"/>
  <c r="AU73" i="16"/>
  <c r="AV73" i="16"/>
  <c r="AT76" i="16"/>
  <c r="AU76" i="16"/>
  <c r="AV76" i="16"/>
  <c r="AT79" i="16"/>
  <c r="AU79" i="16"/>
  <c r="AV79" i="16"/>
  <c r="AT82" i="16"/>
  <c r="AU82" i="16"/>
  <c r="AV82" i="16"/>
  <c r="AT85" i="16"/>
  <c r="AU85" i="16"/>
  <c r="AV85" i="16"/>
  <c r="F7" i="16"/>
  <c r="G7" i="16"/>
  <c r="H7" i="16"/>
  <c r="F9" i="16"/>
  <c r="F8" i="16" s="1"/>
  <c r="G9" i="16"/>
  <c r="G8" i="16" s="1"/>
  <c r="H9" i="16"/>
  <c r="H8" i="16" s="1"/>
  <c r="F10" i="16"/>
  <c r="G10" i="16"/>
  <c r="H10" i="16"/>
  <c r="F11" i="16"/>
  <c r="G11" i="16"/>
  <c r="H11" i="16"/>
  <c r="F13" i="16"/>
  <c r="F12" i="16" s="1"/>
  <c r="G13" i="16"/>
  <c r="G14" i="16" s="1"/>
  <c r="H13" i="16"/>
  <c r="H12" i="16" s="1"/>
  <c r="F15" i="16"/>
  <c r="G15" i="16"/>
  <c r="H15" i="16"/>
  <c r="F17" i="16"/>
  <c r="F16" i="16" s="1"/>
  <c r="G17" i="16"/>
  <c r="G16" i="16" s="1"/>
  <c r="H17" i="16"/>
  <c r="H16" i="16" s="1"/>
  <c r="F19" i="16"/>
  <c r="G19" i="16"/>
  <c r="H19" i="16"/>
  <c r="F20" i="16"/>
  <c r="G20" i="16"/>
  <c r="H20" i="16"/>
  <c r="F21" i="16"/>
  <c r="F22" i="16" s="1"/>
  <c r="G21" i="16"/>
  <c r="G22" i="16" s="1"/>
  <c r="H21" i="16"/>
  <c r="H22" i="16" s="1"/>
  <c r="F23" i="16"/>
  <c r="G23" i="16"/>
  <c r="H23" i="16"/>
  <c r="F24" i="16"/>
  <c r="G24" i="16"/>
  <c r="H24" i="16"/>
  <c r="F25" i="16"/>
  <c r="F26" i="16" s="1"/>
  <c r="G25" i="16"/>
  <c r="G26" i="16" s="1"/>
  <c r="H25" i="16"/>
  <c r="H26" i="16" s="1"/>
  <c r="F27" i="16"/>
  <c r="G27" i="16"/>
  <c r="H27" i="16"/>
  <c r="F28" i="16"/>
  <c r="G28" i="16"/>
  <c r="H28" i="16"/>
  <c r="F29" i="16"/>
  <c r="F30" i="16" s="1"/>
  <c r="G29" i="16"/>
  <c r="G30" i="16" s="1"/>
  <c r="H29" i="16"/>
  <c r="H30" i="16" s="1"/>
  <c r="F39" i="16"/>
  <c r="G39" i="16"/>
  <c r="H39" i="16"/>
  <c r="F40" i="16"/>
  <c r="G40" i="16"/>
  <c r="H40" i="16"/>
  <c r="F41" i="16"/>
  <c r="F42" i="16" s="1"/>
  <c r="G41" i="16"/>
  <c r="G42" i="16" s="1"/>
  <c r="H41" i="16"/>
  <c r="H42" i="16" s="1"/>
  <c r="F43" i="16"/>
  <c r="G43" i="16"/>
  <c r="H43" i="16"/>
  <c r="F45" i="16"/>
  <c r="F46" i="16" s="1"/>
  <c r="G45" i="16"/>
  <c r="G46" i="16" s="1"/>
  <c r="H45" i="16"/>
  <c r="H46" i="16" s="1"/>
  <c r="F47" i="16"/>
  <c r="G47" i="16"/>
  <c r="H47" i="16"/>
  <c r="F49" i="16"/>
  <c r="F50" i="16" s="1"/>
  <c r="G49" i="16"/>
  <c r="G50" i="16" s="1"/>
  <c r="H49" i="16"/>
  <c r="H50" i="16" s="1"/>
  <c r="F51" i="16"/>
  <c r="G51" i="16"/>
  <c r="H51" i="16"/>
  <c r="F53" i="16"/>
  <c r="F54" i="16" s="1"/>
  <c r="G53" i="16"/>
  <c r="G54" i="16" s="1"/>
  <c r="H53" i="16"/>
  <c r="H54" i="16" s="1"/>
  <c r="F55" i="16"/>
  <c r="G55" i="16"/>
  <c r="H55" i="16"/>
  <c r="F57" i="16"/>
  <c r="F58" i="16" s="1"/>
  <c r="G57" i="16"/>
  <c r="G58" i="16" s="1"/>
  <c r="H57" i="16"/>
  <c r="H58" i="16" s="1"/>
  <c r="F63" i="16"/>
  <c r="G63" i="16"/>
  <c r="H63" i="16"/>
  <c r="F65" i="16"/>
  <c r="F66" i="16" s="1"/>
  <c r="G65" i="16"/>
  <c r="G66" i="16" s="1"/>
  <c r="H65" i="16"/>
  <c r="H66" i="16" s="1"/>
  <c r="F71" i="16"/>
  <c r="G71" i="16"/>
  <c r="H71" i="16"/>
  <c r="F72" i="16"/>
  <c r="G72" i="16"/>
  <c r="H72" i="16"/>
  <c r="F73" i="16"/>
  <c r="F74" i="16" s="1"/>
  <c r="G73" i="16"/>
  <c r="G74" i="16" s="1"/>
  <c r="H73" i="16"/>
  <c r="H74" i="16" s="1"/>
  <c r="F75" i="16"/>
  <c r="G75" i="16"/>
  <c r="H75" i="16"/>
  <c r="F76" i="16"/>
  <c r="G76" i="16"/>
  <c r="H76" i="16"/>
  <c r="F77" i="16"/>
  <c r="F78" i="16" s="1"/>
  <c r="G77" i="16"/>
  <c r="G82" i="16" s="1"/>
  <c r="H77" i="16"/>
  <c r="H78" i="16" s="1"/>
  <c r="F79" i="16"/>
  <c r="G79" i="16"/>
  <c r="H79" i="16"/>
  <c r="F80" i="16"/>
  <c r="G80" i="16"/>
  <c r="H80" i="16"/>
  <c r="F81" i="16"/>
  <c r="G81" i="16"/>
  <c r="H81" i="16"/>
  <c r="F83" i="16"/>
  <c r="G83" i="16"/>
  <c r="H83" i="16"/>
  <c r="F84" i="16"/>
  <c r="G84" i="16"/>
  <c r="H84" i="16"/>
  <c r="F85" i="16"/>
  <c r="F86" i="16" s="1"/>
  <c r="G85" i="16"/>
  <c r="G86" i="16" s="1"/>
  <c r="H85" i="16"/>
  <c r="H86" i="16" s="1"/>
  <c r="F87" i="16"/>
  <c r="G87" i="16"/>
  <c r="H87" i="16"/>
  <c r="F89" i="16"/>
  <c r="F90" i="16" s="1"/>
  <c r="G89" i="16"/>
  <c r="G90" i="16" s="1"/>
  <c r="H89" i="16"/>
  <c r="H88" i="16" s="1"/>
  <c r="F91" i="16"/>
  <c r="G91" i="16"/>
  <c r="H91" i="16"/>
  <c r="F93" i="16"/>
  <c r="F92" i="16" s="1"/>
  <c r="G93" i="16"/>
  <c r="G92" i="16" s="1"/>
  <c r="H93" i="16"/>
  <c r="H94" i="16" s="1"/>
  <c r="F95" i="16"/>
  <c r="G95" i="16"/>
  <c r="H95" i="16"/>
  <c r="F96" i="16"/>
  <c r="G96" i="16"/>
  <c r="H96" i="16"/>
  <c r="F97" i="16"/>
  <c r="F102" i="16" s="1"/>
  <c r="G97" i="16"/>
  <c r="G98" i="16" s="1"/>
  <c r="H97" i="16"/>
  <c r="H98" i="16" s="1"/>
  <c r="F99" i="16"/>
  <c r="G99" i="16"/>
  <c r="H99" i="16"/>
  <c r="F100" i="16"/>
  <c r="G100" i="16"/>
  <c r="H100" i="16"/>
  <c r="F101" i="16"/>
  <c r="G101" i="16"/>
  <c r="H101" i="16"/>
  <c r="F104" i="16"/>
  <c r="G104" i="16"/>
  <c r="H104" i="16"/>
  <c r="F105" i="16"/>
  <c r="F106" i="16" s="1"/>
  <c r="G105" i="16"/>
  <c r="G106" i="16" s="1"/>
  <c r="H105" i="16"/>
  <c r="H106" i="16" s="1"/>
  <c r="F108" i="16"/>
  <c r="G108" i="16"/>
  <c r="H108" i="16"/>
  <c r="F109" i="16"/>
  <c r="F110" i="16" s="1"/>
  <c r="G109" i="16"/>
  <c r="G110" i="16" s="1"/>
  <c r="H109" i="16"/>
  <c r="H110" i="16" s="1"/>
  <c r="F115" i="16"/>
  <c r="G115" i="16"/>
  <c r="H115" i="16"/>
  <c r="F362" i="16"/>
  <c r="F363" i="16" s="1"/>
  <c r="G362" i="16"/>
  <c r="G363" i="16" s="1"/>
  <c r="H362" i="16"/>
  <c r="H363" i="16" s="1"/>
  <c r="F365" i="16"/>
  <c r="F366" i="16" s="1"/>
  <c r="G365" i="16"/>
  <c r="G366" i="16" s="1"/>
  <c r="H365" i="16"/>
  <c r="H366" i="16" s="1"/>
  <c r="F368" i="16"/>
  <c r="F369" i="16" s="1"/>
  <c r="G368" i="16"/>
  <c r="G369" i="16" s="1"/>
  <c r="H368" i="16"/>
  <c r="H369" i="16" s="1"/>
  <c r="F371" i="16"/>
  <c r="F372" i="16" s="1"/>
  <c r="G371" i="16"/>
  <c r="G372" i="16" s="1"/>
  <c r="H371" i="16"/>
  <c r="H372" i="16" s="1"/>
  <c r="S78" i="17"/>
  <c r="S77" i="17"/>
  <c r="S76" i="17"/>
  <c r="S75" i="17"/>
  <c r="S74" i="17"/>
  <c r="S73" i="17"/>
  <c r="S72" i="17"/>
  <c r="S71" i="17"/>
  <c r="S70" i="17"/>
  <c r="S69" i="17"/>
  <c r="S68" i="17"/>
  <c r="S67" i="17"/>
  <c r="S66" i="17"/>
  <c r="S65" i="17"/>
  <c r="S64" i="17"/>
  <c r="S63" i="17"/>
  <c r="S62" i="17"/>
  <c r="S61" i="17"/>
  <c r="S60" i="17"/>
  <c r="S59" i="17"/>
  <c r="S58" i="17"/>
  <c r="S57" i="17"/>
  <c r="S56" i="17"/>
  <c r="S55" i="17"/>
  <c r="S54" i="17"/>
  <c r="S53" i="17"/>
  <c r="S52" i="17"/>
  <c r="S51" i="17"/>
  <c r="S50" i="17"/>
  <c r="S49" i="17"/>
  <c r="N78" i="17"/>
  <c r="O78" i="17" s="1"/>
  <c r="N77" i="17"/>
  <c r="O77" i="17" s="1"/>
  <c r="N76" i="17"/>
  <c r="O76" i="17" s="1"/>
  <c r="N75" i="17"/>
  <c r="O75" i="17" s="1"/>
  <c r="N74" i="17"/>
  <c r="O74" i="17" s="1"/>
  <c r="N73" i="17"/>
  <c r="O73" i="17" s="1"/>
  <c r="N72" i="17"/>
  <c r="O72" i="17" s="1"/>
  <c r="N71" i="17"/>
  <c r="O71" i="17" s="1"/>
  <c r="N70" i="17"/>
  <c r="O70" i="17" s="1"/>
  <c r="N69" i="17"/>
  <c r="O69" i="17" s="1"/>
  <c r="N68" i="17"/>
  <c r="O68" i="17" s="1"/>
  <c r="N67" i="17"/>
  <c r="O67" i="17" s="1"/>
  <c r="N66" i="17"/>
  <c r="O66" i="17" s="1"/>
  <c r="N65" i="17"/>
  <c r="O65" i="17" s="1"/>
  <c r="N64" i="17"/>
  <c r="O64" i="17" s="1"/>
  <c r="N63" i="17"/>
  <c r="O63" i="17" s="1"/>
  <c r="N62" i="17"/>
  <c r="O62" i="17" s="1"/>
  <c r="N61" i="17"/>
  <c r="O61" i="17" s="1"/>
  <c r="N60" i="17"/>
  <c r="O60" i="17" s="1"/>
  <c r="N59" i="17"/>
  <c r="O59" i="17" s="1"/>
  <c r="N58" i="17"/>
  <c r="O58" i="17" s="1"/>
  <c r="N57" i="17"/>
  <c r="O57" i="17" s="1"/>
  <c r="N56" i="17"/>
  <c r="O56" i="17" s="1"/>
  <c r="N55" i="17"/>
  <c r="O55" i="17" s="1"/>
  <c r="N54" i="17"/>
  <c r="O54" i="17" s="1"/>
  <c r="N53" i="17"/>
  <c r="O53" i="17" s="1"/>
  <c r="N52" i="17"/>
  <c r="O52" i="17" s="1"/>
  <c r="N51" i="17"/>
  <c r="O51" i="17" s="1"/>
  <c r="N50" i="17"/>
  <c r="O50" i="17" s="1"/>
  <c r="N49" i="17"/>
  <c r="O49" i="17" s="1"/>
  <c r="V258" i="17" l="1"/>
  <c r="V254" i="17"/>
  <c r="V250" i="17"/>
  <c r="V246" i="17"/>
  <c r="V242" i="17"/>
  <c r="V238" i="17"/>
  <c r="V234" i="17"/>
  <c r="V230" i="17"/>
  <c r="V255" i="17"/>
  <c r="V251" i="17"/>
  <c r="V247" i="17"/>
  <c r="V243" i="17"/>
  <c r="V239" i="17"/>
  <c r="V235" i="17"/>
  <c r="V231" i="17"/>
  <c r="V256" i="17"/>
  <c r="V252" i="17"/>
  <c r="V248" i="17"/>
  <c r="V244" i="17"/>
  <c r="V240" i="17"/>
  <c r="V236" i="17"/>
  <c r="V232" i="17"/>
  <c r="V257" i="17"/>
  <c r="V241" i="17"/>
  <c r="V245" i="17"/>
  <c r="V229" i="17"/>
  <c r="V249" i="17"/>
  <c r="V233" i="17"/>
  <c r="V253" i="17"/>
  <c r="V237" i="17"/>
  <c r="U257" i="17"/>
  <c r="U253" i="17"/>
  <c r="U249" i="17"/>
  <c r="U245" i="17"/>
  <c r="U241" i="17"/>
  <c r="U237" i="17"/>
  <c r="U233" i="17"/>
  <c r="U229" i="17"/>
  <c r="U258" i="17"/>
  <c r="U254" i="17"/>
  <c r="U250" i="17"/>
  <c r="U246" i="17"/>
  <c r="U242" i="17"/>
  <c r="U238" i="17"/>
  <c r="U234" i="17"/>
  <c r="U230" i="17"/>
  <c r="U255" i="17"/>
  <c r="U251" i="17"/>
  <c r="U247" i="17"/>
  <c r="U243" i="17"/>
  <c r="U239" i="17"/>
  <c r="U235" i="17"/>
  <c r="U231" i="17"/>
  <c r="U252" i="17"/>
  <c r="U236" i="17"/>
  <c r="U256" i="17"/>
  <c r="U240" i="17"/>
  <c r="U244" i="17"/>
  <c r="U232" i="17"/>
  <c r="U248" i="17"/>
  <c r="W255" i="17"/>
  <c r="W251" i="17"/>
  <c r="W247" i="17"/>
  <c r="W243" i="17"/>
  <c r="W239" i="17"/>
  <c r="W235" i="17"/>
  <c r="W231" i="17"/>
  <c r="W256" i="17"/>
  <c r="W252" i="17"/>
  <c r="W248" i="17"/>
  <c r="W244" i="17"/>
  <c r="W240" i="17"/>
  <c r="W236" i="17"/>
  <c r="W232" i="17"/>
  <c r="W257" i="17"/>
  <c r="W253" i="17"/>
  <c r="W249" i="17"/>
  <c r="W245" i="17"/>
  <c r="W241" i="17"/>
  <c r="W237" i="17"/>
  <c r="W233" i="17"/>
  <c r="W229" i="17"/>
  <c r="W246" i="17"/>
  <c r="W230" i="17"/>
  <c r="W250" i="17"/>
  <c r="W234" i="17"/>
  <c r="W254" i="17"/>
  <c r="W238" i="17"/>
  <c r="W242" i="17"/>
  <c r="W258" i="17"/>
  <c r="F98" i="16"/>
  <c r="H82" i="16"/>
  <c r="F18" i="16"/>
  <c r="G102" i="16"/>
  <c r="F88" i="16"/>
  <c r="H14" i="16"/>
  <c r="G12" i="16"/>
  <c r="H92" i="16"/>
  <c r="G18" i="16"/>
  <c r="G88" i="16"/>
  <c r="H90" i="16"/>
  <c r="F94" i="16"/>
  <c r="H102" i="16"/>
  <c r="G78" i="16"/>
  <c r="F14" i="16"/>
  <c r="H18" i="16"/>
  <c r="F82" i="16"/>
  <c r="G94" i="16"/>
  <c r="S17" i="17" l="1"/>
  <c r="S18" i="17"/>
  <c r="S19" i="17"/>
  <c r="S20" i="17"/>
  <c r="S21" i="17"/>
  <c r="S22" i="17"/>
  <c r="S23" i="17"/>
  <c r="S24" i="17"/>
  <c r="S25" i="17"/>
  <c r="S26" i="17"/>
  <c r="S27" i="17"/>
  <c r="S28" i="17"/>
  <c r="S29" i="17"/>
  <c r="S30" i="17"/>
  <c r="S31" i="17"/>
  <c r="S32" i="17"/>
  <c r="S33" i="17"/>
  <c r="S34" i="17"/>
  <c r="S35" i="17"/>
  <c r="S36" i="17"/>
  <c r="S37" i="17"/>
  <c r="S38" i="17"/>
  <c r="S39" i="17"/>
  <c r="S40" i="17"/>
  <c r="S41" i="17"/>
  <c r="S42" i="17"/>
  <c r="S43" i="17"/>
  <c r="S44" i="17"/>
  <c r="S45" i="17"/>
  <c r="S46" i="17"/>
  <c r="S16" i="17"/>
  <c r="N16" i="17"/>
  <c r="N17" i="17"/>
  <c r="N18" i="17"/>
  <c r="N19" i="17"/>
  <c r="N20" i="17"/>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B19" i="48"/>
  <c r="E115" i="16" l="1"/>
  <c r="N230" i="17" s="1"/>
  <c r="D115" i="16"/>
  <c r="L258" i="17"/>
  <c r="P258" i="17" s="1" a="1"/>
  <c r="P258" i="17" s="1"/>
  <c r="J258" i="17"/>
  <c r="R258" i="17" s="1"/>
  <c r="G258" i="17" a="1"/>
  <c r="G258" i="17" s="1"/>
  <c r="L257" i="17"/>
  <c r="P257" i="17" s="1" a="1"/>
  <c r="P257" i="17" s="1"/>
  <c r="J257" i="17"/>
  <c r="R257" i="17" s="1"/>
  <c r="G257" i="17" a="1"/>
  <c r="G257" i="17" s="1"/>
  <c r="L256" i="17"/>
  <c r="P256" i="17" s="1" a="1"/>
  <c r="P256" i="17" s="1"/>
  <c r="J256" i="17"/>
  <c r="R256" i="17" s="1"/>
  <c r="G256" i="17" a="1"/>
  <c r="G256" i="17" s="1"/>
  <c r="L255" i="17"/>
  <c r="P255" i="17" s="1" a="1"/>
  <c r="P255" i="17" s="1"/>
  <c r="J255" i="17"/>
  <c r="R255" i="17" s="1"/>
  <c r="G255" i="17" a="1"/>
  <c r="G255" i="17" s="1"/>
  <c r="L254" i="17"/>
  <c r="P254" i="17" s="1" a="1"/>
  <c r="P254" i="17" s="1"/>
  <c r="J254" i="17"/>
  <c r="R254" i="17" s="1"/>
  <c r="G254" i="17" a="1"/>
  <c r="G254" i="17" s="1"/>
  <c r="L253" i="17"/>
  <c r="P253" i="17" s="1" a="1"/>
  <c r="P253" i="17" s="1"/>
  <c r="J253" i="17"/>
  <c r="R253" i="17" s="1"/>
  <c r="G253" i="17" a="1"/>
  <c r="G253" i="17" s="1"/>
  <c r="L252" i="17"/>
  <c r="P252" i="17" s="1" a="1"/>
  <c r="P252" i="17" s="1"/>
  <c r="J252" i="17"/>
  <c r="R252" i="17" s="1"/>
  <c r="G252" i="17" a="1"/>
  <c r="G252" i="17" s="1"/>
  <c r="L251" i="17"/>
  <c r="P251" i="17" s="1" a="1"/>
  <c r="P251" i="17" s="1"/>
  <c r="J251" i="17"/>
  <c r="R251" i="17" s="1"/>
  <c r="G251" i="17" a="1"/>
  <c r="G251" i="17" s="1"/>
  <c r="L250" i="17"/>
  <c r="P250" i="17" s="1" a="1"/>
  <c r="P250" i="17" s="1"/>
  <c r="J250" i="17"/>
  <c r="R250" i="17" s="1"/>
  <c r="G250" i="17" a="1"/>
  <c r="G250" i="17" s="1"/>
  <c r="L249" i="17"/>
  <c r="P249" i="17" s="1" a="1"/>
  <c r="P249" i="17" s="1"/>
  <c r="J249" i="17"/>
  <c r="R249" i="17" s="1"/>
  <c r="G249" i="17" a="1"/>
  <c r="G249" i="17" s="1"/>
  <c r="L248" i="17"/>
  <c r="P248" i="17" s="1" a="1"/>
  <c r="P248" i="17" s="1"/>
  <c r="J248" i="17"/>
  <c r="R248" i="17" s="1"/>
  <c r="G248" i="17" a="1"/>
  <c r="G248" i="17" s="1"/>
  <c r="L247" i="17"/>
  <c r="P247" i="17" s="1" a="1"/>
  <c r="P247" i="17" s="1"/>
  <c r="J247" i="17"/>
  <c r="R247" i="17" s="1"/>
  <c r="G247" i="17" a="1"/>
  <c r="G247" i="17" s="1"/>
  <c r="L246" i="17"/>
  <c r="P246" i="17" s="1" a="1"/>
  <c r="P246" i="17" s="1"/>
  <c r="J246" i="17"/>
  <c r="R246" i="17" s="1"/>
  <c r="G246" i="17" a="1"/>
  <c r="G246" i="17" s="1"/>
  <c r="L245" i="17"/>
  <c r="P245" i="17" s="1" a="1"/>
  <c r="P245" i="17" s="1"/>
  <c r="J245" i="17"/>
  <c r="R245" i="17" s="1"/>
  <c r="G245" i="17" a="1"/>
  <c r="G245" i="17" s="1"/>
  <c r="L244" i="17"/>
  <c r="P244" i="17" s="1" a="1"/>
  <c r="P244" i="17" s="1"/>
  <c r="J244" i="17"/>
  <c r="R244" i="17" s="1"/>
  <c r="G244" i="17" a="1"/>
  <c r="G244" i="17" s="1"/>
  <c r="L243" i="17"/>
  <c r="P243" i="17" s="1" a="1"/>
  <c r="P243" i="17" s="1"/>
  <c r="J243" i="17"/>
  <c r="R243" i="17" s="1"/>
  <c r="G243" i="17" a="1"/>
  <c r="G243" i="17" s="1"/>
  <c r="L242" i="17"/>
  <c r="P242" i="17" s="1" a="1"/>
  <c r="P242" i="17" s="1"/>
  <c r="J242" i="17"/>
  <c r="R242" i="17" s="1"/>
  <c r="G242" i="17" a="1"/>
  <c r="G242" i="17" s="1"/>
  <c r="L241" i="17"/>
  <c r="P241" i="17" s="1" a="1"/>
  <c r="P241" i="17" s="1"/>
  <c r="J241" i="17"/>
  <c r="R241" i="17" s="1"/>
  <c r="G241" i="17" a="1"/>
  <c r="G241" i="17" s="1"/>
  <c r="L240" i="17"/>
  <c r="P240" i="17" s="1" a="1"/>
  <c r="P240" i="17" s="1"/>
  <c r="J240" i="17"/>
  <c r="R240" i="17" s="1"/>
  <c r="G240" i="17" a="1"/>
  <c r="G240" i="17" s="1"/>
  <c r="L239" i="17"/>
  <c r="P239" i="17" s="1" a="1"/>
  <c r="P239" i="17" s="1"/>
  <c r="J239" i="17"/>
  <c r="R239" i="17" s="1"/>
  <c r="G239" i="17" a="1"/>
  <c r="G239" i="17" s="1"/>
  <c r="L238" i="17"/>
  <c r="P238" i="17" s="1" a="1"/>
  <c r="P238" i="17" s="1"/>
  <c r="J238" i="17"/>
  <c r="R238" i="17" s="1"/>
  <c r="G238" i="17" a="1"/>
  <c r="G238" i="17" s="1"/>
  <c r="L237" i="17"/>
  <c r="P237" i="17" s="1" a="1"/>
  <c r="P237" i="17" s="1"/>
  <c r="J237" i="17"/>
  <c r="R237" i="17" s="1"/>
  <c r="G237" i="17" a="1"/>
  <c r="G237" i="17" s="1"/>
  <c r="L236" i="17"/>
  <c r="P236" i="17" s="1" a="1"/>
  <c r="P236" i="17" s="1"/>
  <c r="J236" i="17"/>
  <c r="R236" i="17" s="1"/>
  <c r="G236" i="17" a="1"/>
  <c r="G236" i="17" s="1"/>
  <c r="L235" i="17"/>
  <c r="P235" i="17" s="1" a="1"/>
  <c r="P235" i="17" s="1"/>
  <c r="J235" i="17"/>
  <c r="R235" i="17" s="1"/>
  <c r="G235" i="17" a="1"/>
  <c r="G235" i="17" s="1"/>
  <c r="L234" i="17"/>
  <c r="P234" i="17" s="1" a="1"/>
  <c r="P234" i="17" s="1"/>
  <c r="J234" i="17"/>
  <c r="R234" i="17" s="1"/>
  <c r="G234" i="17" a="1"/>
  <c r="G234" i="17" s="1"/>
  <c r="L233" i="17"/>
  <c r="P233" i="17" s="1" a="1"/>
  <c r="P233" i="17" s="1"/>
  <c r="J233" i="17"/>
  <c r="R233" i="17" s="1"/>
  <c r="G233" i="17" a="1"/>
  <c r="G233" i="17" s="1"/>
  <c r="L232" i="17"/>
  <c r="P232" i="17" s="1" a="1"/>
  <c r="P232" i="17" s="1"/>
  <c r="J232" i="17"/>
  <c r="R232" i="17" s="1"/>
  <c r="G232" i="17" a="1"/>
  <c r="G232" i="17" s="1"/>
  <c r="L231" i="17"/>
  <c r="P231" i="17" s="1" a="1"/>
  <c r="P231" i="17" s="1"/>
  <c r="J231" i="17"/>
  <c r="R231" i="17" s="1"/>
  <c r="G231" i="17" a="1"/>
  <c r="G231" i="17" s="1"/>
  <c r="L230" i="17"/>
  <c r="P230" i="17" s="1" a="1"/>
  <c r="P230" i="17" s="1"/>
  <c r="J230" i="17"/>
  <c r="R230" i="17" s="1"/>
  <c r="G230" i="17" a="1"/>
  <c r="G230" i="17" s="1"/>
  <c r="L229" i="17"/>
  <c r="P229" i="17" s="1" a="1"/>
  <c r="P229" i="17" s="1"/>
  <c r="J229" i="17"/>
  <c r="R229" i="17" s="1"/>
  <c r="G229" i="17" a="1"/>
  <c r="G229" i="17" s="1"/>
  <c r="O11" i="25" l="1"/>
  <c r="Q11" i="25"/>
  <c r="P11" i="25"/>
  <c r="N244" i="17"/>
  <c r="N252" i="17"/>
  <c r="N257" i="17"/>
  <c r="N253" i="17"/>
  <c r="N249" i="17"/>
  <c r="N245" i="17"/>
  <c r="N241" i="17"/>
  <c r="N237" i="17"/>
  <c r="N233" i="17"/>
  <c r="N240" i="17"/>
  <c r="N236" i="17"/>
  <c r="N232" i="17"/>
  <c r="N229" i="17"/>
  <c r="N255" i="17"/>
  <c r="N251" i="17"/>
  <c r="N247" i="17"/>
  <c r="N243" i="17"/>
  <c r="N239" i="17"/>
  <c r="N235" i="17"/>
  <c r="N231" i="17"/>
  <c r="N256" i="17"/>
  <c r="N248" i="17"/>
  <c r="N258" i="17"/>
  <c r="N254" i="17"/>
  <c r="N250" i="17"/>
  <c r="N246" i="17"/>
  <c r="N242" i="17"/>
  <c r="N238" i="17"/>
  <c r="N234" i="17"/>
  <c r="E4" i="44"/>
  <c r="D4" i="44"/>
  <c r="H9" i="43"/>
  <c r="F113" i="41"/>
  <c r="F112" i="41"/>
  <c r="F111" i="41"/>
  <c r="F110" i="41"/>
  <c r="F109" i="41"/>
  <c r="F108" i="41"/>
  <c r="F107" i="41"/>
  <c r="F106" i="41"/>
  <c r="F105" i="41"/>
  <c r="F104" i="41"/>
  <c r="F103" i="41"/>
  <c r="F102" i="41"/>
  <c r="F101" i="41"/>
  <c r="F100" i="41"/>
  <c r="F99" i="41"/>
  <c r="F98" i="41"/>
  <c r="F97" i="41"/>
  <c r="F96" i="41"/>
  <c r="F95" i="41"/>
  <c r="F94" i="41"/>
  <c r="F93" i="41"/>
  <c r="F92" i="41"/>
  <c r="F91" i="41"/>
  <c r="F90" i="41"/>
  <c r="F89" i="41"/>
  <c r="F88" i="41"/>
  <c r="F87" i="41"/>
  <c r="F86" i="41"/>
  <c r="F85" i="41"/>
  <c r="F84" i="41"/>
  <c r="F83" i="41"/>
  <c r="F82" i="41"/>
  <c r="F81" i="41"/>
  <c r="F80" i="41"/>
  <c r="F79" i="41"/>
  <c r="F78" i="41"/>
  <c r="F77" i="41"/>
  <c r="F76" i="41"/>
  <c r="F75" i="41"/>
  <c r="F74" i="41"/>
  <c r="F73" i="41"/>
  <c r="F72" i="41"/>
  <c r="F71" i="41"/>
  <c r="F70" i="41"/>
  <c r="F69" i="41"/>
  <c r="F68" i="41"/>
  <c r="F67" i="41"/>
  <c r="F66" i="41"/>
  <c r="F65" i="41"/>
  <c r="F64" i="41"/>
  <c r="F63" i="41"/>
  <c r="F62" i="41"/>
  <c r="F61" i="41"/>
  <c r="F60" i="41"/>
  <c r="F59" i="41"/>
  <c r="F58" i="41"/>
  <c r="F57" i="41"/>
  <c r="F56" i="41"/>
  <c r="F55" i="41"/>
  <c r="F54" i="41"/>
  <c r="F53" i="41"/>
  <c r="F52" i="41"/>
  <c r="F51" i="41"/>
  <c r="F50" i="41"/>
  <c r="F49" i="41"/>
  <c r="F48" i="41"/>
  <c r="F47" i="41"/>
  <c r="F46" i="41"/>
  <c r="F45" i="41"/>
  <c r="F44" i="41"/>
  <c r="F43" i="41"/>
  <c r="F42" i="41"/>
  <c r="F41" i="41"/>
  <c r="F40" i="41"/>
  <c r="F39" i="41"/>
  <c r="F38" i="41"/>
  <c r="F37" i="41"/>
  <c r="F36" i="41"/>
  <c r="F35" i="41"/>
  <c r="F34" i="41"/>
  <c r="F33" i="41"/>
  <c r="F32" i="41"/>
  <c r="F31" i="41"/>
  <c r="F30" i="41"/>
  <c r="F29" i="41"/>
  <c r="F28" i="41"/>
  <c r="F27" i="41"/>
  <c r="F26" i="41"/>
  <c r="F25" i="41"/>
  <c r="F24" i="41"/>
  <c r="F22" i="41"/>
  <c r="F21" i="41"/>
  <c r="F20" i="41"/>
  <c r="F19" i="41"/>
  <c r="F18" i="41"/>
  <c r="F17" i="41"/>
  <c r="F16" i="41"/>
  <c r="F15" i="41"/>
  <c r="F14" i="41"/>
  <c r="F13" i="41"/>
  <c r="M61" i="27" l="1"/>
  <c r="M60" i="27"/>
  <c r="M59" i="27"/>
  <c r="M58" i="27"/>
  <c r="M57" i="27"/>
  <c r="M56" i="27"/>
  <c r="M55" i="27"/>
  <c r="M54" i="27"/>
  <c r="M53" i="27"/>
  <c r="M52" i="27"/>
  <c r="M51" i="27"/>
  <c r="M50" i="27"/>
  <c r="M49" i="27"/>
  <c r="M48" i="27"/>
  <c r="M47" i="27"/>
  <c r="M46" i="27"/>
  <c r="M45" i="27"/>
  <c r="M44" i="27"/>
  <c r="M43" i="27"/>
  <c r="M42" i="27"/>
  <c r="M41" i="27"/>
  <c r="M40" i="27"/>
  <c r="M39" i="27"/>
  <c r="M38" i="27"/>
  <c r="M37" i="27"/>
  <c r="M36" i="27"/>
  <c r="M35" i="27"/>
  <c r="M34" i="27"/>
  <c r="M33" i="27"/>
  <c r="M32" i="27"/>
  <c r="M31" i="27"/>
  <c r="M30" i="27"/>
  <c r="M29" i="27"/>
  <c r="M28" i="27"/>
  <c r="M27" i="27"/>
  <c r="M26" i="27"/>
  <c r="M25" i="27"/>
  <c r="M24" i="27"/>
  <c r="M23" i="27"/>
  <c r="M22" i="27"/>
  <c r="M21" i="27"/>
  <c r="M20" i="27"/>
  <c r="M19" i="27"/>
  <c r="M18" i="27"/>
  <c r="M17" i="27"/>
  <c r="M16" i="27"/>
  <c r="M15" i="27"/>
  <c r="M14" i="27"/>
  <c r="T60" i="2"/>
  <c r="T59" i="2"/>
  <c r="T58" i="2"/>
  <c r="T57" i="2"/>
  <c r="T56" i="2"/>
  <c r="T55" i="2"/>
  <c r="T54" i="2"/>
  <c r="T53" i="2"/>
  <c r="T52" i="2"/>
  <c r="T51" i="2"/>
  <c r="T50" i="2"/>
  <c r="T49" i="2"/>
  <c r="T48" i="2"/>
  <c r="T47" i="2"/>
  <c r="T46" i="2"/>
  <c r="T45" i="2"/>
  <c r="T44" i="2"/>
  <c r="T43" i="2"/>
  <c r="T42" i="2"/>
  <c r="T41" i="2"/>
  <c r="T40" i="2"/>
  <c r="T39" i="2"/>
  <c r="T38" i="2"/>
  <c r="T37" i="2"/>
  <c r="T36" i="2"/>
  <c r="T35" i="2"/>
  <c r="T34" i="2"/>
  <c r="T33" i="2"/>
  <c r="T32" i="2"/>
  <c r="T31" i="2"/>
  <c r="T30" i="2"/>
  <c r="T29" i="2"/>
  <c r="T28" i="2"/>
  <c r="T27" i="2"/>
  <c r="T26" i="2"/>
  <c r="T25" i="2"/>
  <c r="T24" i="2"/>
  <c r="T23" i="2"/>
  <c r="T22" i="2"/>
  <c r="T21" i="2"/>
  <c r="T20" i="2"/>
  <c r="T19" i="2"/>
  <c r="T18" i="2"/>
  <c r="T17" i="2"/>
  <c r="T16" i="2"/>
  <c r="T15" i="2"/>
  <c r="T14" i="2"/>
  <c r="T13" i="2"/>
  <c r="C8" i="30" l="1"/>
  <c r="C9" i="30"/>
  <c r="C10" i="30"/>
  <c r="C11" i="30"/>
  <c r="C12" i="30"/>
  <c r="C13" i="30"/>
  <c r="C14" i="30"/>
  <c r="C15" i="30"/>
  <c r="C16" i="30"/>
  <c r="C17" i="30"/>
  <c r="C18" i="30"/>
  <c r="C19" i="30"/>
  <c r="C7" i="30"/>
  <c r="A42" i="39"/>
  <c r="E7" i="43"/>
  <c r="E5" i="43"/>
  <c r="L174" i="17"/>
  <c r="P174" i="17" s="1" a="1"/>
  <c r="P174" i="17" s="1"/>
  <c r="L173" i="17"/>
  <c r="P173" i="17" s="1" a="1"/>
  <c r="P173" i="17" s="1"/>
  <c r="L172" i="17"/>
  <c r="P172" i="17" s="1" a="1"/>
  <c r="P172" i="17" s="1"/>
  <c r="L171" i="17"/>
  <c r="P171" i="17" s="1" a="1"/>
  <c r="P171" i="17" s="1"/>
  <c r="L170" i="17"/>
  <c r="P170" i="17" s="1" a="1"/>
  <c r="P170" i="17" s="1"/>
  <c r="L169" i="17"/>
  <c r="P169" i="17" s="1" a="1"/>
  <c r="P169" i="17" s="1"/>
  <c r="L168" i="17"/>
  <c r="P168" i="17" s="1" a="1"/>
  <c r="P168" i="17" s="1"/>
  <c r="L167" i="17"/>
  <c r="P167" i="17" s="1" a="1"/>
  <c r="P167" i="17" s="1"/>
  <c r="L166" i="17"/>
  <c r="P166" i="17" s="1" a="1"/>
  <c r="P166" i="17" s="1"/>
  <c r="L165" i="17"/>
  <c r="P165" i="17" s="1" a="1"/>
  <c r="P165" i="17" s="1"/>
  <c r="L164" i="17"/>
  <c r="P164" i="17" s="1" a="1"/>
  <c r="P164" i="17" s="1"/>
  <c r="L163" i="17"/>
  <c r="P163" i="17" s="1" a="1"/>
  <c r="P163" i="17" s="1"/>
  <c r="L162" i="17"/>
  <c r="P162" i="17" s="1" a="1"/>
  <c r="P162" i="17" s="1"/>
  <c r="L161" i="17"/>
  <c r="P161" i="17" s="1" a="1"/>
  <c r="P161" i="17" s="1"/>
  <c r="L160" i="17"/>
  <c r="P160" i="17" s="1" a="1"/>
  <c r="P160" i="17" s="1"/>
  <c r="L159" i="17"/>
  <c r="P159" i="17" s="1" a="1"/>
  <c r="P159" i="17" s="1"/>
  <c r="L158" i="17"/>
  <c r="P158" i="17" s="1" a="1"/>
  <c r="P158" i="17" s="1"/>
  <c r="L157" i="17"/>
  <c r="P157" i="17" s="1" a="1"/>
  <c r="P157" i="17" s="1"/>
  <c r="L156" i="17"/>
  <c r="P156" i="17" s="1" a="1"/>
  <c r="P156" i="17" s="1"/>
  <c r="L155" i="17"/>
  <c r="P155" i="17" s="1" a="1"/>
  <c r="P155" i="17" s="1"/>
  <c r="L154" i="17"/>
  <c r="P154" i="17" s="1" a="1"/>
  <c r="P154" i="17" s="1"/>
  <c r="L153" i="17"/>
  <c r="P153" i="17" s="1" a="1"/>
  <c r="P153" i="17" s="1"/>
  <c r="L152" i="17"/>
  <c r="P152" i="17" s="1" a="1"/>
  <c r="P152" i="17" s="1"/>
  <c r="L151" i="17"/>
  <c r="P151" i="17" s="1" a="1"/>
  <c r="P151" i="17" s="1"/>
  <c r="L150" i="17"/>
  <c r="P150" i="17" s="1" a="1"/>
  <c r="P150" i="17" s="1"/>
  <c r="L149" i="17"/>
  <c r="P149" i="17" s="1" a="1"/>
  <c r="P149" i="17" s="1"/>
  <c r="L148" i="17"/>
  <c r="P148" i="17" s="1" a="1"/>
  <c r="P148" i="17" s="1"/>
  <c r="L147" i="17"/>
  <c r="P147" i="17" s="1" a="1"/>
  <c r="P147" i="17" s="1"/>
  <c r="L146" i="17"/>
  <c r="P146" i="17" s="1" a="1"/>
  <c r="P146" i="17" s="1"/>
  <c r="L177" i="17"/>
  <c r="AA177" i="17" s="1"/>
  <c r="Z177" i="17"/>
  <c r="L178" i="17"/>
  <c r="L179" i="17"/>
  <c r="AA179" i="17" s="1"/>
  <c r="L180" i="17"/>
  <c r="Z180" i="17"/>
  <c r="L181" i="17"/>
  <c r="Z181" i="17"/>
  <c r="L182" i="17"/>
  <c r="Z182" i="17"/>
  <c r="L183" i="17"/>
  <c r="Z183" i="17"/>
  <c r="L184" i="17"/>
  <c r="Z184" i="17"/>
  <c r="L185" i="17"/>
  <c r="Z185" i="17"/>
  <c r="L186" i="17"/>
  <c r="Z186" i="17"/>
  <c r="L187" i="17"/>
  <c r="Z187" i="17"/>
  <c r="L188" i="17"/>
  <c r="Z188" i="17"/>
  <c r="L189" i="17"/>
  <c r="Z189" i="17"/>
  <c r="L190" i="17"/>
  <c r="Z190" i="17"/>
  <c r="L191" i="17"/>
  <c r="Z191" i="17"/>
  <c r="L192" i="17"/>
  <c r="Z192" i="17"/>
  <c r="L193" i="17"/>
  <c r="Z193" i="17"/>
  <c r="L194" i="17"/>
  <c r="Z194" i="17"/>
  <c r="L195" i="17"/>
  <c r="Z195" i="17"/>
  <c r="L196" i="17"/>
  <c r="Z196" i="17"/>
  <c r="L197" i="17"/>
  <c r="L198" i="17"/>
  <c r="Z198" i="17"/>
  <c r="L199" i="17"/>
  <c r="Z199" i="17"/>
  <c r="L200" i="17"/>
  <c r="Z200" i="17"/>
  <c r="L201" i="17"/>
  <c r="Z201" i="17"/>
  <c r="L202" i="17"/>
  <c r="L203" i="17"/>
  <c r="Z203" i="17"/>
  <c r="L204" i="17"/>
  <c r="L205" i="17"/>
  <c r="Z205" i="17"/>
  <c r="L206" i="17"/>
  <c r="Z206" i="17"/>
  <c r="L207" i="17"/>
  <c r="Z207" i="17"/>
  <c r="L208" i="17"/>
  <c r="Z208" i="17"/>
  <c r="L209" i="17"/>
  <c r="Z209" i="17"/>
  <c r="L210" i="17"/>
  <c r="Z210" i="17"/>
  <c r="L211" i="17"/>
  <c r="Z211" i="17"/>
  <c r="L212" i="17"/>
  <c r="Z212" i="17"/>
  <c r="L213" i="17"/>
  <c r="Z213" i="17"/>
  <c r="L214" i="17"/>
  <c r="Z214" i="17"/>
  <c r="L215" i="17"/>
  <c r="Z215" i="17"/>
  <c r="L216" i="17"/>
  <c r="Z216" i="17"/>
  <c r="L217" i="17"/>
  <c r="Z217" i="17"/>
  <c r="L218" i="17"/>
  <c r="Z218" i="17"/>
  <c r="L219" i="17"/>
  <c r="Z219" i="17"/>
  <c r="L220" i="17"/>
  <c r="Z220" i="17"/>
  <c r="L221" i="17"/>
  <c r="L222" i="17"/>
  <c r="Z222" i="17"/>
  <c r="L223" i="17"/>
  <c r="Z223" i="17"/>
  <c r="L224" i="17"/>
  <c r="Z224" i="17"/>
  <c r="L225" i="17"/>
  <c r="Z225" i="17"/>
  <c r="L226" i="17"/>
  <c r="Z226" i="17"/>
  <c r="L145" i="17"/>
  <c r="P145" i="17" s="1" a="1"/>
  <c r="P145" i="17" s="1"/>
  <c r="L142" i="17"/>
  <c r="P142" i="17" s="1" a="1"/>
  <c r="P142" i="17" s="1"/>
  <c r="L141" i="17"/>
  <c r="P141" i="17" s="1" a="1"/>
  <c r="P141" i="17" s="1"/>
  <c r="L140" i="17"/>
  <c r="P140" i="17" s="1" a="1"/>
  <c r="P140" i="17" s="1"/>
  <c r="L139" i="17"/>
  <c r="P139" i="17" s="1" a="1"/>
  <c r="P139" i="17" s="1"/>
  <c r="L138" i="17"/>
  <c r="P138" i="17" s="1" a="1"/>
  <c r="P138" i="17" s="1"/>
  <c r="L137" i="17"/>
  <c r="P137" i="17" s="1" a="1"/>
  <c r="P137" i="17" s="1"/>
  <c r="L136" i="17"/>
  <c r="P136" i="17" s="1" a="1"/>
  <c r="P136" i="17" s="1"/>
  <c r="L135" i="17"/>
  <c r="P135" i="17" s="1" a="1"/>
  <c r="P135" i="17" s="1"/>
  <c r="L134" i="17"/>
  <c r="P134" i="17" s="1" a="1"/>
  <c r="P134" i="17" s="1"/>
  <c r="L133" i="17"/>
  <c r="P133" i="17" s="1" a="1"/>
  <c r="P133" i="17" s="1"/>
  <c r="L132" i="17"/>
  <c r="P132" i="17" s="1" a="1"/>
  <c r="P132" i="17" s="1"/>
  <c r="L131" i="17"/>
  <c r="P131" i="17" s="1" a="1"/>
  <c r="P131" i="17" s="1"/>
  <c r="L130" i="17"/>
  <c r="P130" i="17" s="1" a="1"/>
  <c r="P130" i="17" s="1"/>
  <c r="L129" i="17"/>
  <c r="P129" i="17" s="1" a="1"/>
  <c r="P129" i="17" s="1"/>
  <c r="L128" i="17"/>
  <c r="P128" i="17" s="1" a="1"/>
  <c r="P128" i="17" s="1"/>
  <c r="L127" i="17"/>
  <c r="P127" i="17" s="1" a="1"/>
  <c r="P127" i="17" s="1"/>
  <c r="L126" i="17"/>
  <c r="P126" i="17" s="1" a="1"/>
  <c r="P126" i="17" s="1"/>
  <c r="L125" i="17"/>
  <c r="P125" i="17" s="1" a="1"/>
  <c r="P125" i="17" s="1"/>
  <c r="L124" i="17"/>
  <c r="P124" i="17" s="1" a="1"/>
  <c r="P124" i="17" s="1"/>
  <c r="L123" i="17"/>
  <c r="P123" i="17" s="1" a="1"/>
  <c r="P123" i="17" s="1"/>
  <c r="L122" i="17"/>
  <c r="P122" i="17" s="1" a="1"/>
  <c r="P122" i="17" s="1"/>
  <c r="L121" i="17"/>
  <c r="P121" i="17" s="1" a="1"/>
  <c r="P121" i="17" s="1"/>
  <c r="L120" i="17"/>
  <c r="P120" i="17" s="1" a="1"/>
  <c r="P120" i="17" s="1"/>
  <c r="L119" i="17"/>
  <c r="P119" i="17" s="1" a="1"/>
  <c r="P119" i="17" s="1"/>
  <c r="L118" i="17"/>
  <c r="P118" i="17" s="1" a="1"/>
  <c r="P118" i="17" s="1"/>
  <c r="L117" i="17"/>
  <c r="P117" i="17" s="1" a="1"/>
  <c r="P117" i="17" s="1"/>
  <c r="L116" i="17"/>
  <c r="P116" i="17" s="1" a="1"/>
  <c r="P116" i="17" s="1"/>
  <c r="L115" i="17"/>
  <c r="P115" i="17" s="1" a="1"/>
  <c r="P115" i="17" s="1"/>
  <c r="L114" i="17"/>
  <c r="P114" i="17" s="1" a="1"/>
  <c r="P114" i="17" s="1"/>
  <c r="L113" i="17"/>
  <c r="P113" i="17" s="1" a="1"/>
  <c r="P113" i="17" s="1"/>
  <c r="L110" i="17"/>
  <c r="P110" i="17" s="1" a="1"/>
  <c r="P110" i="17" s="1"/>
  <c r="L109" i="17"/>
  <c r="P109" i="17" s="1" a="1"/>
  <c r="P109" i="17" s="1"/>
  <c r="L108" i="17"/>
  <c r="P108" i="17" s="1" a="1"/>
  <c r="P108" i="17" s="1"/>
  <c r="L107" i="17"/>
  <c r="P107" i="17" s="1" a="1"/>
  <c r="P107" i="17" s="1"/>
  <c r="L106" i="17"/>
  <c r="P106" i="17" s="1" a="1"/>
  <c r="P106" i="17" s="1"/>
  <c r="L105" i="17"/>
  <c r="P105" i="17" s="1" a="1"/>
  <c r="P105" i="17" s="1"/>
  <c r="L104" i="17"/>
  <c r="P104" i="17" s="1" a="1"/>
  <c r="P104" i="17" s="1"/>
  <c r="L103" i="17"/>
  <c r="P103" i="17" s="1" a="1"/>
  <c r="P103" i="17" s="1"/>
  <c r="L102" i="17"/>
  <c r="P102" i="17" s="1" a="1"/>
  <c r="P102" i="17" s="1"/>
  <c r="L101" i="17"/>
  <c r="P101" i="17" s="1" a="1"/>
  <c r="P101" i="17" s="1"/>
  <c r="L100" i="17"/>
  <c r="P100" i="17" s="1" a="1"/>
  <c r="P100" i="17" s="1"/>
  <c r="L99" i="17"/>
  <c r="P99" i="17" s="1" a="1"/>
  <c r="P99" i="17" s="1"/>
  <c r="L98" i="17"/>
  <c r="P98" i="17" s="1" a="1"/>
  <c r="P98" i="17" s="1"/>
  <c r="L97" i="17"/>
  <c r="P97" i="17" s="1" a="1"/>
  <c r="P97" i="17" s="1"/>
  <c r="L96" i="17"/>
  <c r="P96" i="17" s="1" a="1"/>
  <c r="P96" i="17" s="1"/>
  <c r="L95" i="17"/>
  <c r="P95" i="17" s="1" a="1"/>
  <c r="P95" i="17" s="1"/>
  <c r="L94" i="17"/>
  <c r="P94" i="17" s="1" a="1"/>
  <c r="P94" i="17" s="1"/>
  <c r="L93" i="17"/>
  <c r="P93" i="17" s="1" a="1"/>
  <c r="P93" i="17" s="1"/>
  <c r="L92" i="17"/>
  <c r="P92" i="17" s="1" a="1"/>
  <c r="P92" i="17" s="1"/>
  <c r="L91" i="17"/>
  <c r="P91" i="17" s="1" a="1"/>
  <c r="P91" i="17" s="1"/>
  <c r="L90" i="17"/>
  <c r="P90" i="17" s="1" a="1"/>
  <c r="P90" i="17" s="1"/>
  <c r="L89" i="17"/>
  <c r="P89" i="17" s="1" a="1"/>
  <c r="P89" i="17" s="1"/>
  <c r="L88" i="17"/>
  <c r="P88" i="17" s="1" a="1"/>
  <c r="P88" i="17" s="1"/>
  <c r="L87" i="17"/>
  <c r="P87" i="17" s="1" a="1"/>
  <c r="P87" i="17" s="1"/>
  <c r="L86" i="17"/>
  <c r="P86" i="17" s="1" a="1"/>
  <c r="P86" i="17" s="1"/>
  <c r="L85" i="17"/>
  <c r="P85" i="17" s="1" a="1"/>
  <c r="P85" i="17" s="1"/>
  <c r="L84" i="17"/>
  <c r="P84" i="17" s="1" a="1"/>
  <c r="P84" i="17" s="1"/>
  <c r="L83" i="17"/>
  <c r="P83" i="17" s="1" a="1"/>
  <c r="P83" i="17" s="1"/>
  <c r="L82" i="17"/>
  <c r="P82" i="17" s="1" a="1"/>
  <c r="P82" i="17" s="1"/>
  <c r="L81" i="17"/>
  <c r="P81" i="17" s="1" a="1"/>
  <c r="P81" i="17" s="1"/>
  <c r="L78" i="17"/>
  <c r="L77" i="17"/>
  <c r="L76" i="17"/>
  <c r="L75" i="17"/>
  <c r="L74" i="17"/>
  <c r="L73" i="17"/>
  <c r="L72" i="17"/>
  <c r="L71" i="17"/>
  <c r="L70" i="17"/>
  <c r="L69" i="17"/>
  <c r="L68" i="17"/>
  <c r="L67" i="17"/>
  <c r="L66" i="17"/>
  <c r="L65" i="17"/>
  <c r="L64" i="17"/>
  <c r="L63" i="17"/>
  <c r="L62" i="17"/>
  <c r="L61" i="17"/>
  <c r="L60" i="17"/>
  <c r="L59" i="17"/>
  <c r="L58" i="17"/>
  <c r="L57" i="17"/>
  <c r="L56" i="17"/>
  <c r="L55" i="17"/>
  <c r="L54" i="17"/>
  <c r="L53" i="17"/>
  <c r="L52" i="17"/>
  <c r="L51" i="17"/>
  <c r="L50" i="17"/>
  <c r="L49" i="17"/>
  <c r="M48" i="17"/>
  <c r="L48" i="17"/>
  <c r="M47" i="17"/>
  <c r="L47" i="17"/>
  <c r="L46" i="17"/>
  <c r="P46" i="17" s="1" a="1"/>
  <c r="P46" i="17" s="1"/>
  <c r="L45" i="17"/>
  <c r="P45" i="17" s="1" a="1"/>
  <c r="P45" i="17" s="1"/>
  <c r="L44" i="17"/>
  <c r="P44" i="17" s="1" a="1"/>
  <c r="P44" i="17" s="1"/>
  <c r="L43" i="17"/>
  <c r="P43" i="17" s="1" a="1"/>
  <c r="P43" i="17" s="1"/>
  <c r="L42" i="17"/>
  <c r="P42" i="17" s="1" a="1"/>
  <c r="P42" i="17" s="1"/>
  <c r="L41" i="17"/>
  <c r="P41" i="17" s="1" a="1"/>
  <c r="P41" i="17" s="1"/>
  <c r="L40" i="17"/>
  <c r="P40" i="17" s="1" a="1"/>
  <c r="P40" i="17" s="1"/>
  <c r="L39" i="17"/>
  <c r="P39" i="17" s="1" a="1"/>
  <c r="P39" i="17" s="1"/>
  <c r="L38" i="17"/>
  <c r="P38" i="17" s="1" a="1"/>
  <c r="P38" i="17" s="1"/>
  <c r="L37" i="17"/>
  <c r="P37" i="17" s="1" a="1"/>
  <c r="P37" i="17" s="1"/>
  <c r="L36" i="17"/>
  <c r="P36" i="17" s="1" a="1"/>
  <c r="P36" i="17" s="1"/>
  <c r="L35" i="17"/>
  <c r="P35" i="17" s="1" a="1"/>
  <c r="P35" i="17" s="1"/>
  <c r="L34" i="17"/>
  <c r="P34" i="17" s="1" a="1"/>
  <c r="P34" i="17" s="1"/>
  <c r="L33" i="17"/>
  <c r="P33" i="17" s="1" a="1"/>
  <c r="P33" i="17" s="1"/>
  <c r="L32" i="17"/>
  <c r="P32" i="17" s="1" a="1"/>
  <c r="P32" i="17" s="1"/>
  <c r="L31" i="17"/>
  <c r="P31" i="17" s="1" a="1"/>
  <c r="P31" i="17" s="1"/>
  <c r="L30" i="17"/>
  <c r="P30" i="17" s="1" a="1"/>
  <c r="P30" i="17" s="1"/>
  <c r="L29" i="17"/>
  <c r="P29" i="17" s="1" a="1"/>
  <c r="P29" i="17" s="1"/>
  <c r="L28" i="17"/>
  <c r="P28" i="17" s="1" a="1"/>
  <c r="P28" i="17" s="1"/>
  <c r="L27" i="17"/>
  <c r="P27" i="17" s="1" a="1"/>
  <c r="P27" i="17" s="1"/>
  <c r="L26" i="17"/>
  <c r="P26" i="17" s="1" a="1"/>
  <c r="P26" i="17" s="1"/>
  <c r="L25" i="17"/>
  <c r="P25" i="17" s="1" a="1"/>
  <c r="P25" i="17" s="1"/>
  <c r="L24" i="17"/>
  <c r="P24" i="17" s="1" a="1"/>
  <c r="P24" i="17" s="1"/>
  <c r="L23" i="17"/>
  <c r="P23" i="17" s="1" a="1"/>
  <c r="P23" i="17" s="1"/>
  <c r="L22" i="17"/>
  <c r="P22" i="17" s="1" a="1"/>
  <c r="P22" i="17" s="1"/>
  <c r="L21" i="17"/>
  <c r="P21" i="17" s="1" a="1"/>
  <c r="P21" i="17" s="1"/>
  <c r="L20" i="17"/>
  <c r="P20" i="17" s="1" a="1"/>
  <c r="P20" i="17" s="1"/>
  <c r="L19" i="17"/>
  <c r="P19" i="17" s="1" a="1"/>
  <c r="P19" i="17" s="1"/>
  <c r="L18" i="17"/>
  <c r="P18" i="17" s="1" a="1"/>
  <c r="P18" i="17" s="1"/>
  <c r="L17" i="17"/>
  <c r="P17" i="17" s="1" a="1"/>
  <c r="P17" i="17" s="1"/>
  <c r="L16" i="17"/>
  <c r="P16" i="17" s="1" a="1"/>
  <c r="P16" i="17" s="1"/>
  <c r="Q205" i="44"/>
  <c r="Q204" i="44"/>
  <c r="Q203" i="44"/>
  <c r="Q202" i="44"/>
  <c r="Q201" i="44"/>
  <c r="Q200" i="44"/>
  <c r="Q199" i="44"/>
  <c r="Q198" i="44"/>
  <c r="Q197" i="44"/>
  <c r="Q196" i="44"/>
  <c r="Q195" i="44"/>
  <c r="Q194" i="44"/>
  <c r="Q193" i="44"/>
  <c r="Q192" i="44"/>
  <c r="Q191" i="44"/>
  <c r="Q190" i="44"/>
  <c r="Q189" i="44"/>
  <c r="Q188" i="44"/>
  <c r="Q187" i="44"/>
  <c r="Q186" i="44"/>
  <c r="Q185" i="44"/>
  <c r="Q184" i="44"/>
  <c r="Q183" i="44"/>
  <c r="Q182" i="44"/>
  <c r="Q181" i="44"/>
  <c r="Q180" i="44"/>
  <c r="Q179" i="44"/>
  <c r="Q178" i="44"/>
  <c r="Q177" i="44"/>
  <c r="Q176" i="44"/>
  <c r="Q175" i="44"/>
  <c r="Q174" i="44"/>
  <c r="Q173" i="44"/>
  <c r="Q172" i="44"/>
  <c r="Q171" i="44"/>
  <c r="Q170" i="44"/>
  <c r="Q169" i="44"/>
  <c r="Q168" i="44"/>
  <c r="Q167" i="44"/>
  <c r="Q166" i="44"/>
  <c r="Q165" i="44"/>
  <c r="Q164" i="44"/>
  <c r="Q163" i="44"/>
  <c r="Q162" i="44"/>
  <c r="Q161" i="44"/>
  <c r="Q160" i="44"/>
  <c r="Q159" i="44"/>
  <c r="Q158" i="44"/>
  <c r="Q157" i="44"/>
  <c r="Q156" i="44"/>
  <c r="Q155" i="44"/>
  <c r="Q154" i="44"/>
  <c r="Q153" i="44"/>
  <c r="Q152" i="44"/>
  <c r="Q151" i="44"/>
  <c r="Q150" i="44"/>
  <c r="Q149" i="44"/>
  <c r="Q148" i="44"/>
  <c r="Q147" i="44"/>
  <c r="Q146" i="44"/>
  <c r="Q145" i="44"/>
  <c r="Q144" i="44"/>
  <c r="Q143" i="44"/>
  <c r="Q142" i="44"/>
  <c r="Q141" i="44"/>
  <c r="Q140" i="44"/>
  <c r="Q139" i="44"/>
  <c r="Q138" i="44"/>
  <c r="Q137" i="44"/>
  <c r="Q136" i="44"/>
  <c r="Q135" i="44"/>
  <c r="Q134" i="44"/>
  <c r="Q133" i="44"/>
  <c r="Q132" i="44"/>
  <c r="Q131" i="44"/>
  <c r="Q130" i="44"/>
  <c r="Q129" i="44"/>
  <c r="Q128" i="44"/>
  <c r="Q127" i="44"/>
  <c r="Q126" i="44"/>
  <c r="Q125" i="44"/>
  <c r="Q124" i="44"/>
  <c r="Q123" i="44"/>
  <c r="Q122" i="44"/>
  <c r="Q121" i="44"/>
  <c r="Q120" i="44"/>
  <c r="Q119" i="44"/>
  <c r="Q118" i="44"/>
  <c r="Q117" i="44"/>
  <c r="Q116" i="44"/>
  <c r="Q115" i="44"/>
  <c r="Q114" i="44"/>
  <c r="Q113" i="44"/>
  <c r="Q112" i="44"/>
  <c r="Q111" i="44"/>
  <c r="Q110" i="44"/>
  <c r="Q109" i="44"/>
  <c r="Q108" i="44"/>
  <c r="Q107" i="44"/>
  <c r="Q106" i="44"/>
  <c r="Q105" i="44"/>
  <c r="Q104" i="44"/>
  <c r="Q103" i="44"/>
  <c r="Q102" i="44"/>
  <c r="Q101" i="44"/>
  <c r="Q100" i="44"/>
  <c r="Q99" i="44"/>
  <c r="Q98" i="44"/>
  <c r="Q97" i="44"/>
  <c r="Q96" i="44"/>
  <c r="Q95" i="44"/>
  <c r="Q94" i="44"/>
  <c r="Q93" i="44"/>
  <c r="Q92" i="44"/>
  <c r="Q91" i="44"/>
  <c r="Q90" i="44"/>
  <c r="Q89" i="44"/>
  <c r="Q88" i="44"/>
  <c r="Q87" i="44"/>
  <c r="Q86" i="44"/>
  <c r="Q85" i="44"/>
  <c r="Q84" i="44"/>
  <c r="Q83" i="44"/>
  <c r="Q82" i="44"/>
  <c r="Q81" i="44"/>
  <c r="Q80" i="44"/>
  <c r="Q79" i="44"/>
  <c r="Q78" i="44"/>
  <c r="Q77" i="44"/>
  <c r="Q76" i="44"/>
  <c r="Q75" i="44"/>
  <c r="Q74" i="44"/>
  <c r="Q73" i="44"/>
  <c r="Q72" i="44"/>
  <c r="Q71" i="44"/>
  <c r="Q70" i="44"/>
  <c r="Q69" i="44"/>
  <c r="Q68" i="44"/>
  <c r="Q67" i="44"/>
  <c r="Q66" i="44"/>
  <c r="Q65" i="44"/>
  <c r="Q64" i="44"/>
  <c r="Q63" i="44"/>
  <c r="Q62" i="44"/>
  <c r="Q61" i="44"/>
  <c r="Q60" i="44"/>
  <c r="Q59" i="44"/>
  <c r="Q58" i="44"/>
  <c r="Q57" i="44"/>
  <c r="Q56" i="44"/>
  <c r="Q55" i="44"/>
  <c r="Q54" i="44"/>
  <c r="Q53" i="44"/>
  <c r="Q52" i="44"/>
  <c r="Q51" i="44"/>
  <c r="Q50" i="44"/>
  <c r="Q49" i="44"/>
  <c r="Q48" i="44"/>
  <c r="Q47" i="44"/>
  <c r="Q46" i="44"/>
  <c r="Q45" i="44"/>
  <c r="Q44" i="44"/>
  <c r="Q43" i="44"/>
  <c r="Q42" i="44"/>
  <c r="Q41" i="44"/>
  <c r="Q40" i="44"/>
  <c r="Q39" i="44"/>
  <c r="Q38" i="44"/>
  <c r="Q37" i="44"/>
  <c r="Q36" i="44"/>
  <c r="Q35" i="44"/>
  <c r="Q34" i="44"/>
  <c r="Q33" i="44"/>
  <c r="Q32" i="44"/>
  <c r="Q31" i="44"/>
  <c r="Q30" i="44"/>
  <c r="Q29" i="44"/>
  <c r="Q28" i="44"/>
  <c r="Q27" i="44"/>
  <c r="Q26" i="44"/>
  <c r="Q25" i="44"/>
  <c r="Q24" i="44"/>
  <c r="Q23" i="44"/>
  <c r="Q22" i="44"/>
  <c r="Q21" i="44"/>
  <c r="Q20" i="44"/>
  <c r="Q19" i="44"/>
  <c r="Q18" i="44"/>
  <c r="Q17" i="44"/>
  <c r="Q16" i="44"/>
  <c r="Q15" i="44"/>
  <c r="Q14" i="44"/>
  <c r="Q13" i="44"/>
  <c r="B6" i="44" s="1"/>
  <c r="Q12" i="7"/>
  <c r="R12" i="7" s="1" a="1"/>
  <c r="R12" i="7" s="1"/>
  <c r="Q55" i="7"/>
  <c r="R55" i="7" s="1" a="1"/>
  <c r="R55" i="7" s="1"/>
  <c r="Q54" i="7"/>
  <c r="R54" i="7" s="1" a="1"/>
  <c r="R54" i="7" s="1"/>
  <c r="Q53" i="7"/>
  <c r="R53" i="7" s="1" a="1"/>
  <c r="R53" i="7" s="1"/>
  <c r="Q52" i="7"/>
  <c r="R52" i="7" s="1" a="1"/>
  <c r="R52" i="7" s="1"/>
  <c r="Q51" i="7"/>
  <c r="R51" i="7" s="1" a="1"/>
  <c r="R51" i="7" s="1"/>
  <c r="Q50" i="7"/>
  <c r="R50" i="7" s="1" a="1"/>
  <c r="R50" i="7" s="1"/>
  <c r="Q49" i="7"/>
  <c r="R49" i="7" s="1" a="1"/>
  <c r="R49" i="7" s="1"/>
  <c r="Q48" i="7"/>
  <c r="R48" i="7" s="1" a="1"/>
  <c r="R48" i="7" s="1"/>
  <c r="Q47" i="7"/>
  <c r="R47" i="7" s="1" a="1"/>
  <c r="R47" i="7" s="1"/>
  <c r="Q46" i="7"/>
  <c r="R46" i="7" s="1" a="1"/>
  <c r="R46" i="7" s="1"/>
  <c r="Q45" i="7"/>
  <c r="R45" i="7" s="1" a="1"/>
  <c r="R45" i="7" s="1"/>
  <c r="Q44" i="7"/>
  <c r="R44" i="7" s="1" a="1"/>
  <c r="R44" i="7" s="1"/>
  <c r="Q43" i="7"/>
  <c r="R43" i="7" s="1" a="1"/>
  <c r="R43" i="7" s="1"/>
  <c r="Q42" i="7"/>
  <c r="R42" i="7" s="1" a="1"/>
  <c r="R42" i="7" s="1"/>
  <c r="Q41" i="7"/>
  <c r="R41" i="7" s="1" a="1"/>
  <c r="R41" i="7" s="1"/>
  <c r="Q40" i="7"/>
  <c r="R40" i="7" s="1" a="1"/>
  <c r="R40" i="7" s="1"/>
  <c r="Q39" i="7"/>
  <c r="R39" i="7" s="1" a="1"/>
  <c r="R39" i="7" s="1"/>
  <c r="Q38" i="7"/>
  <c r="R38" i="7" s="1" a="1"/>
  <c r="R38" i="7" s="1"/>
  <c r="Q37" i="7"/>
  <c r="R37" i="7" s="1" a="1"/>
  <c r="R37" i="7" s="1"/>
  <c r="Q36" i="7"/>
  <c r="R36" i="7" s="1" a="1"/>
  <c r="R36" i="7" s="1"/>
  <c r="Q35" i="7"/>
  <c r="R35" i="7" s="1" a="1"/>
  <c r="R35" i="7" s="1"/>
  <c r="Q34" i="7"/>
  <c r="R34" i="7" s="1" a="1"/>
  <c r="R34" i="7" s="1"/>
  <c r="Q33" i="7"/>
  <c r="R33" i="7" s="1" a="1"/>
  <c r="R33" i="7" s="1"/>
  <c r="Q32" i="7"/>
  <c r="R32" i="7" s="1" a="1"/>
  <c r="R32" i="7" s="1"/>
  <c r="Q31" i="7"/>
  <c r="R31" i="7" s="1" a="1"/>
  <c r="R31" i="7" s="1"/>
  <c r="Q30" i="7"/>
  <c r="R30" i="7" s="1" a="1"/>
  <c r="R30" i="7" s="1"/>
  <c r="Q29" i="7"/>
  <c r="R29" i="7" s="1" a="1"/>
  <c r="R29" i="7" s="1"/>
  <c r="Q28" i="7"/>
  <c r="R28" i="7" s="1" a="1"/>
  <c r="R28" i="7" s="1"/>
  <c r="Q27" i="7"/>
  <c r="R27" i="7" s="1" a="1"/>
  <c r="R27" i="7" s="1"/>
  <c r="Q26" i="7"/>
  <c r="R26" i="7" s="1" a="1"/>
  <c r="R26" i="7" s="1"/>
  <c r="Q25" i="7"/>
  <c r="R25" i="7" s="1" a="1"/>
  <c r="R25" i="7" s="1"/>
  <c r="Q24" i="7"/>
  <c r="R24" i="7" s="1" a="1"/>
  <c r="R24" i="7" s="1"/>
  <c r="Q23" i="7"/>
  <c r="R23" i="7" s="1" a="1"/>
  <c r="R23" i="7" s="1"/>
  <c r="Q22" i="7"/>
  <c r="R22" i="7" s="1" a="1"/>
  <c r="R22" i="7" s="1"/>
  <c r="Q21" i="7"/>
  <c r="R21" i="7" s="1" a="1"/>
  <c r="R21" i="7" s="1"/>
  <c r="Q20" i="7"/>
  <c r="R20" i="7" s="1" a="1"/>
  <c r="R20" i="7" s="1"/>
  <c r="Q19" i="7"/>
  <c r="R19" i="7" s="1" a="1"/>
  <c r="R19" i="7" s="1"/>
  <c r="Q18" i="7"/>
  <c r="R18" i="7" s="1" a="1"/>
  <c r="R18" i="7" s="1"/>
  <c r="Q17" i="7"/>
  <c r="R17" i="7" s="1" a="1"/>
  <c r="R17" i="7" s="1"/>
  <c r="Q16" i="7"/>
  <c r="R16" i="7" s="1" a="1"/>
  <c r="R16" i="7" s="1"/>
  <c r="Q15" i="7"/>
  <c r="R15" i="7" s="1" a="1"/>
  <c r="R15" i="7" s="1"/>
  <c r="Q14" i="7"/>
  <c r="R14" i="7" s="1" a="1"/>
  <c r="R14" i="7" s="1"/>
  <c r="Q13" i="7"/>
  <c r="R13" i="7" s="1" a="1"/>
  <c r="R13" i="7" s="1"/>
  <c r="M11" i="5"/>
  <c r="R11" i="5" s="1"/>
  <c r="M12" i="5"/>
  <c r="R12" i="5" s="1"/>
  <c r="M13" i="5"/>
  <c r="R13" i="5" s="1"/>
  <c r="M14" i="5"/>
  <c r="M15" i="5"/>
  <c r="R15" i="5" s="1"/>
  <c r="M16" i="5"/>
  <c r="R16" i="5" s="1"/>
  <c r="M17" i="5"/>
  <c r="R17" i="5" s="1"/>
  <c r="M18" i="5"/>
  <c r="M19" i="5"/>
  <c r="R19" i="5" s="1"/>
  <c r="M20" i="5"/>
  <c r="R20" i="5" s="1"/>
  <c r="M21" i="5"/>
  <c r="R21" i="5" s="1"/>
  <c r="M22" i="5"/>
  <c r="R22" i="5" s="1"/>
  <c r="M23" i="5"/>
  <c r="R23" i="5" s="1"/>
  <c r="M24" i="5"/>
  <c r="R24" i="5" s="1"/>
  <c r="M25" i="5"/>
  <c r="R25" i="5" s="1"/>
  <c r="M26" i="5"/>
  <c r="R26" i="5" s="1"/>
  <c r="M27" i="5"/>
  <c r="R27" i="5" s="1"/>
  <c r="M28" i="5"/>
  <c r="R28" i="5" s="1"/>
  <c r="M29" i="5"/>
  <c r="R29" i="5" s="1"/>
  <c r="M30" i="5"/>
  <c r="R30" i="5" s="1"/>
  <c r="M31" i="5"/>
  <c r="R31" i="5" s="1"/>
  <c r="M32" i="5"/>
  <c r="R32" i="5" s="1"/>
  <c r="M33" i="5"/>
  <c r="R33" i="5" s="1"/>
  <c r="M34" i="5"/>
  <c r="R34" i="5" s="1"/>
  <c r="M35" i="5"/>
  <c r="R35" i="5" s="1"/>
  <c r="M36" i="5"/>
  <c r="R36" i="5" s="1"/>
  <c r="M37" i="5"/>
  <c r="R37" i="5" s="1"/>
  <c r="M38" i="5"/>
  <c r="R38" i="5" s="1"/>
  <c r="M39" i="5"/>
  <c r="R39" i="5" s="1"/>
  <c r="M40" i="5"/>
  <c r="R40" i="5" s="1"/>
  <c r="M41" i="5"/>
  <c r="R41" i="5" s="1"/>
  <c r="M42" i="5"/>
  <c r="R42" i="5" s="1"/>
  <c r="M43" i="5"/>
  <c r="R43" i="5" s="1"/>
  <c r="M44" i="5"/>
  <c r="R44" i="5" s="1"/>
  <c r="M45" i="5"/>
  <c r="R45" i="5" s="1"/>
  <c r="M46" i="5"/>
  <c r="R46" i="5" s="1"/>
  <c r="M47" i="5"/>
  <c r="R47" i="5" s="1"/>
  <c r="M48" i="5"/>
  <c r="R48" i="5" s="1"/>
  <c r="M49" i="5"/>
  <c r="R49" i="5" s="1"/>
  <c r="M50" i="5"/>
  <c r="R50" i="5" s="1"/>
  <c r="M51" i="5"/>
  <c r="R51" i="5" s="1"/>
  <c r="M52" i="5"/>
  <c r="R52" i="5" s="1"/>
  <c r="M53" i="5"/>
  <c r="R53" i="5" s="1"/>
  <c r="M54" i="5"/>
  <c r="R54" i="5" s="1"/>
  <c r="O11" i="5"/>
  <c r="O12" i="5"/>
  <c r="O13" i="5"/>
  <c r="O14" i="5"/>
  <c r="O15" i="5"/>
  <c r="O16" i="5"/>
  <c r="O17" i="5"/>
  <c r="O18" i="5"/>
  <c r="O19" i="5"/>
  <c r="O20" i="5"/>
  <c r="O21" i="5"/>
  <c r="O22" i="5"/>
  <c r="O23" i="5"/>
  <c r="O24" i="5"/>
  <c r="O25"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R14" i="5"/>
  <c r="R18" i="5"/>
  <c r="B11" i="40" a="1"/>
  <c r="B11" i="40" s="1"/>
  <c r="B14" i="40" a="1"/>
  <c r="B14" i="40" s="1"/>
  <c r="B15" i="40" a="1"/>
  <c r="B15" i="40" s="1"/>
  <c r="B16" i="40" a="1"/>
  <c r="B16" i="40" s="1"/>
  <c r="B17" i="40" a="1"/>
  <c r="B17" i="40" s="1"/>
  <c r="B18" i="40" a="1"/>
  <c r="B18" i="40" s="1"/>
  <c r="B19" i="40" a="1"/>
  <c r="B19" i="40" s="1"/>
  <c r="B20" i="40" a="1"/>
  <c r="B20" i="40" s="1"/>
  <c r="B21" i="40" a="1"/>
  <c r="B21" i="40" s="1"/>
  <c r="C21" i="40" s="1"/>
  <c r="E23" i="41" s="1"/>
  <c r="D11" i="42" s="1"/>
  <c r="B22" i="40" a="1"/>
  <c r="B22" i="40" s="1"/>
  <c r="B23" i="40" a="1"/>
  <c r="B23" i="40" s="1"/>
  <c r="B24" i="40" a="1"/>
  <c r="B24" i="40" s="1"/>
  <c r="B25" i="40" a="1"/>
  <c r="B25" i="40" s="1"/>
  <c r="B26" i="40" a="1"/>
  <c r="B26" i="40" s="1"/>
  <c r="B27" i="40" a="1"/>
  <c r="B27" i="40" s="1"/>
  <c r="B28" i="40" a="1"/>
  <c r="B28" i="40" s="1"/>
  <c r="C28" i="40" s="1"/>
  <c r="E30" i="41" s="1"/>
  <c r="D18" i="42" s="1"/>
  <c r="B29" i="40" a="1"/>
  <c r="B29" i="40" s="1"/>
  <c r="F59" i="29" a="1"/>
  <c r="F59" i="29" s="1"/>
  <c r="F58" i="29" a="1"/>
  <c r="F58" i="29" s="1"/>
  <c r="F57" i="29" a="1"/>
  <c r="F57" i="29"/>
  <c r="F56" i="29" a="1"/>
  <c r="F56" i="29" s="1"/>
  <c r="F55" i="29" a="1"/>
  <c r="F55" i="29" s="1"/>
  <c r="F54" i="29" a="1"/>
  <c r="F54" i="29" s="1"/>
  <c r="F53" i="29" a="1"/>
  <c r="F53" i="29" s="1"/>
  <c r="F52" i="29" a="1"/>
  <c r="F52" i="29" s="1"/>
  <c r="F51" i="29" a="1"/>
  <c r="F51" i="29" s="1"/>
  <c r="F50" i="29" a="1"/>
  <c r="F50" i="29" s="1"/>
  <c r="F49" i="29" a="1"/>
  <c r="F49" i="29" s="1"/>
  <c r="F48" i="29" a="1"/>
  <c r="F48" i="29" s="1"/>
  <c r="F47" i="29" a="1"/>
  <c r="F47" i="29" s="1"/>
  <c r="F46" i="29" a="1"/>
  <c r="F46" i="29" s="1"/>
  <c r="F45" i="29" a="1"/>
  <c r="F45" i="29" s="1"/>
  <c r="F44" i="29" a="1"/>
  <c r="F44" i="29" s="1"/>
  <c r="F43" i="29" a="1"/>
  <c r="F43" i="29" s="1"/>
  <c r="F42" i="29" a="1"/>
  <c r="F42" i="29" s="1"/>
  <c r="F41" i="29" a="1"/>
  <c r="F41" i="29" s="1"/>
  <c r="F40" i="29" a="1"/>
  <c r="F40" i="29" s="1"/>
  <c r="F39" i="29" a="1"/>
  <c r="F39" i="29" s="1"/>
  <c r="F38" i="29" a="1"/>
  <c r="F38" i="29" s="1"/>
  <c r="F37" i="29" a="1"/>
  <c r="F37" i="29" s="1"/>
  <c r="F36" i="29" a="1"/>
  <c r="F36" i="29" s="1"/>
  <c r="F35" i="29" a="1"/>
  <c r="F35" i="29" s="1"/>
  <c r="F34" i="29" a="1"/>
  <c r="F34" i="29" s="1"/>
  <c r="F33" i="29" a="1"/>
  <c r="F33" i="29" s="1"/>
  <c r="F32" i="29" a="1"/>
  <c r="F32" i="29" s="1"/>
  <c r="F31" i="29" a="1"/>
  <c r="F31" i="29" s="1"/>
  <c r="F30" i="29" a="1"/>
  <c r="F30" i="29" s="1"/>
  <c r="F29" i="29" a="1"/>
  <c r="F29" i="29" s="1"/>
  <c r="F28" i="29" a="1"/>
  <c r="F28" i="29" s="1"/>
  <c r="F27" i="29" a="1"/>
  <c r="F27" i="29" s="1"/>
  <c r="F26" i="29" a="1"/>
  <c r="F26" i="29" s="1"/>
  <c r="F25" i="29" a="1"/>
  <c r="F25" i="29" s="1"/>
  <c r="F24" i="29" a="1"/>
  <c r="F24" i="29" s="1"/>
  <c r="F23" i="29" a="1"/>
  <c r="F23" i="29" s="1"/>
  <c r="F22" i="29" a="1"/>
  <c r="F22" i="29" s="1"/>
  <c r="F21" i="29" a="1"/>
  <c r="F21" i="29" s="1"/>
  <c r="F20" i="29" a="1"/>
  <c r="F20" i="29" s="1"/>
  <c r="F19" i="29" a="1"/>
  <c r="F19" i="29" s="1"/>
  <c r="F18" i="29" a="1"/>
  <c r="F18" i="29" s="1"/>
  <c r="F17" i="29" a="1"/>
  <c r="F17" i="29" s="1"/>
  <c r="F16" i="29" a="1"/>
  <c r="F16" i="29" s="1"/>
  <c r="F15" i="29" a="1"/>
  <c r="F15" i="29" s="1"/>
  <c r="F14" i="29" a="1"/>
  <c r="F14" i="29" s="1"/>
  <c r="F13" i="29" a="1"/>
  <c r="F13" i="29" s="1"/>
  <c r="F12" i="29" a="1"/>
  <c r="F12" i="29" s="1"/>
  <c r="O55"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47" i="17"/>
  <c r="Q32" i="38"/>
  <c r="Q33" i="38"/>
  <c r="Q34" i="38"/>
  <c r="Q35" i="38"/>
  <c r="Q36" i="38"/>
  <c r="Q38" i="38"/>
  <c r="Q41" i="38"/>
  <c r="Q42" i="38"/>
  <c r="Q43" i="38"/>
  <c r="Q44" i="38"/>
  <c r="Q45" i="38"/>
  <c r="Q46" i="38"/>
  <c r="Q48" i="38"/>
  <c r="Q49" i="38"/>
  <c r="Q50" i="38"/>
  <c r="Q51" i="38"/>
  <c r="Q52" i="38"/>
  <c r="Q53" i="38"/>
  <c r="Q55" i="38"/>
  <c r="Q56" i="38"/>
  <c r="Q57" i="38"/>
  <c r="Q58" i="38"/>
  <c r="Q59" i="38"/>
  <c r="Q60" i="38"/>
  <c r="Q61" i="38"/>
  <c r="Q63" i="38"/>
  <c r="Q64" i="38"/>
  <c r="Q68" i="38"/>
  <c r="Q69" i="38"/>
  <c r="Q70" i="38"/>
  <c r="Q71" i="38"/>
  <c r="Q72" i="38"/>
  <c r="Q73" i="38"/>
  <c r="Q74" i="38"/>
  <c r="Q75" i="38"/>
  <c r="Q76" i="38"/>
  <c r="Q79" i="38"/>
  <c r="Q81" i="38"/>
  <c r="Q82" i="38"/>
  <c r="Q83" i="38"/>
  <c r="Q85" i="38"/>
  <c r="Q86" i="38"/>
  <c r="Q87" i="38"/>
  <c r="Q88" i="38"/>
  <c r="Q90" i="38"/>
  <c r="Q91" i="38"/>
  <c r="Q92" i="38"/>
  <c r="Q95" i="38"/>
  <c r="Q96" i="38"/>
  <c r="Q99" i="38"/>
  <c r="Q101" i="38"/>
  <c r="Q102" i="38"/>
  <c r="Q103" i="38"/>
  <c r="Q104" i="38"/>
  <c r="Q105" i="38"/>
  <c r="Q106" i="38"/>
  <c r="Q107" i="38"/>
  <c r="Q108" i="38"/>
  <c r="Q110" i="38"/>
  <c r="Q111" i="38"/>
  <c r="Q114" i="38"/>
  <c r="Q118" i="38"/>
  <c r="Q120" i="38"/>
  <c r="Q123" i="38"/>
  <c r="Q126" i="38"/>
  <c r="Q128" i="38"/>
  <c r="Q129" i="38"/>
  <c r="Q130" i="38"/>
  <c r="Q133" i="38"/>
  <c r="Q134" i="38"/>
  <c r="Q135" i="38"/>
  <c r="Q137" i="38"/>
  <c r="Q138" i="38"/>
  <c r="Q140" i="38"/>
  <c r="Q141" i="38"/>
  <c r="Q144" i="38"/>
  <c r="Q145" i="38"/>
  <c r="Q146" i="38"/>
  <c r="Q147" i="38"/>
  <c r="Q148" i="38"/>
  <c r="Q149" i="38"/>
  <c r="Q150" i="38"/>
  <c r="Q151" i="38"/>
  <c r="Q152" i="38"/>
  <c r="Q153" i="38"/>
  <c r="Q156" i="38"/>
  <c r="Q157" i="38"/>
  <c r="Q158" i="38"/>
  <c r="Q159" i="38"/>
  <c r="Q161" i="38"/>
  <c r="Q162" i="38"/>
  <c r="Q163" i="38"/>
  <c r="Q164" i="38"/>
  <c r="Q165" i="38"/>
  <c r="Q171" i="38"/>
  <c r="Q173" i="38"/>
  <c r="Q175" i="38"/>
  <c r="Q176" i="38"/>
  <c r="Q177" i="38"/>
  <c r="Q178" i="38"/>
  <c r="Q179" i="38"/>
  <c r="Q180" i="38"/>
  <c r="Q181" i="38"/>
  <c r="Q182" i="38"/>
  <c r="Q183" i="38"/>
  <c r="Q184" i="38"/>
  <c r="Q185" i="38"/>
  <c r="Q186" i="38"/>
  <c r="Q187" i="38"/>
  <c r="Q191" i="38"/>
  <c r="Q192" i="38"/>
  <c r="Q194" i="38"/>
  <c r="Q196" i="38"/>
  <c r="Q197" i="38"/>
  <c r="Q198" i="38"/>
  <c r="Q201" i="38"/>
  <c r="Q203" i="38"/>
  <c r="Q206" i="38"/>
  <c r="Q207" i="38"/>
  <c r="Q208" i="38"/>
  <c r="Q209" i="38"/>
  <c r="Q210" i="38"/>
  <c r="Q212" i="38"/>
  <c r="Q213" i="38"/>
  <c r="Q214" i="38"/>
  <c r="Q216" i="38"/>
  <c r="Q218" i="38"/>
  <c r="Q222" i="38"/>
  <c r="Q225" i="38"/>
  <c r="Q226" i="38"/>
  <c r="Q227" i="38"/>
  <c r="Q31" i="38"/>
  <c r="Q211" i="38"/>
  <c r="Q160" i="38"/>
  <c r="E5" i="44"/>
  <c r="E7" i="44" s="1"/>
  <c r="D5" i="44"/>
  <c r="D7" i="44" s="1"/>
  <c r="E9" i="43" s="1"/>
  <c r="S205" i="44"/>
  <c r="S204" i="44"/>
  <c r="S203" i="44"/>
  <c r="S202" i="44"/>
  <c r="S201" i="44"/>
  <c r="S200" i="44"/>
  <c r="S199" i="44"/>
  <c r="S198" i="44"/>
  <c r="S197" i="44"/>
  <c r="S196" i="44"/>
  <c r="S195" i="44"/>
  <c r="S194" i="44"/>
  <c r="S193" i="44"/>
  <c r="S192" i="44"/>
  <c r="S191" i="44"/>
  <c r="S190" i="44"/>
  <c r="S189" i="44"/>
  <c r="S188" i="44"/>
  <c r="S187" i="44"/>
  <c r="S186" i="44"/>
  <c r="S185" i="44"/>
  <c r="S184" i="44"/>
  <c r="S183" i="44"/>
  <c r="S182" i="44"/>
  <c r="S181" i="44"/>
  <c r="S180" i="44"/>
  <c r="S179" i="44"/>
  <c r="S178" i="44"/>
  <c r="S177" i="44"/>
  <c r="S176" i="44"/>
  <c r="S175" i="44"/>
  <c r="S174" i="44"/>
  <c r="S173" i="44"/>
  <c r="S172" i="44"/>
  <c r="S171" i="44"/>
  <c r="S170" i="44"/>
  <c r="S169" i="44"/>
  <c r="S168" i="44"/>
  <c r="S167" i="44"/>
  <c r="S166" i="44"/>
  <c r="S165" i="44"/>
  <c r="S164" i="44"/>
  <c r="S163" i="44"/>
  <c r="S162" i="44"/>
  <c r="S161" i="44"/>
  <c r="S160" i="44"/>
  <c r="S159" i="44"/>
  <c r="S158" i="44"/>
  <c r="S157" i="44"/>
  <c r="S156" i="44"/>
  <c r="S155" i="44"/>
  <c r="S154" i="44"/>
  <c r="S153" i="44"/>
  <c r="S152" i="44"/>
  <c r="S151" i="44"/>
  <c r="S150" i="44"/>
  <c r="S149" i="44"/>
  <c r="S148" i="44"/>
  <c r="S147" i="44"/>
  <c r="S146" i="44"/>
  <c r="S145" i="44"/>
  <c r="S144" i="44"/>
  <c r="S143" i="44"/>
  <c r="S142" i="44"/>
  <c r="S141" i="44"/>
  <c r="S140" i="44"/>
  <c r="S139" i="44"/>
  <c r="S138" i="44"/>
  <c r="S137" i="44"/>
  <c r="S136" i="44"/>
  <c r="S135" i="44"/>
  <c r="S134" i="44"/>
  <c r="S133" i="44"/>
  <c r="S132" i="44"/>
  <c r="S131" i="44"/>
  <c r="S130" i="44"/>
  <c r="S129" i="44"/>
  <c r="S128" i="44"/>
  <c r="S127" i="44"/>
  <c r="S126" i="44"/>
  <c r="S125" i="44"/>
  <c r="S124" i="44"/>
  <c r="S123" i="44"/>
  <c r="S122" i="44"/>
  <c r="S121" i="44"/>
  <c r="S120" i="44"/>
  <c r="S119" i="44"/>
  <c r="S118" i="44"/>
  <c r="S117" i="44"/>
  <c r="S116" i="44"/>
  <c r="S115" i="44"/>
  <c r="S114" i="44"/>
  <c r="S113" i="44"/>
  <c r="S112" i="44"/>
  <c r="S111" i="44"/>
  <c r="S110" i="44"/>
  <c r="S109" i="44"/>
  <c r="S108" i="44"/>
  <c r="S107" i="44"/>
  <c r="S106" i="44"/>
  <c r="S105" i="44"/>
  <c r="S104" i="44"/>
  <c r="S103" i="44"/>
  <c r="S102" i="44"/>
  <c r="S101" i="44"/>
  <c r="S100" i="44"/>
  <c r="S99" i="44"/>
  <c r="S98" i="44"/>
  <c r="S97" i="44"/>
  <c r="S96" i="44"/>
  <c r="S95" i="44"/>
  <c r="S94" i="44"/>
  <c r="S93" i="44"/>
  <c r="S92" i="44"/>
  <c r="S91" i="44"/>
  <c r="S90" i="44"/>
  <c r="S89" i="44"/>
  <c r="S88" i="44"/>
  <c r="S87" i="44"/>
  <c r="S86" i="44"/>
  <c r="S85" i="44"/>
  <c r="S84" i="44"/>
  <c r="S83" i="44"/>
  <c r="S82" i="44"/>
  <c r="S81" i="44"/>
  <c r="S80" i="44"/>
  <c r="S79" i="44"/>
  <c r="S78" i="44"/>
  <c r="S77" i="44"/>
  <c r="S76" i="44"/>
  <c r="S75" i="44"/>
  <c r="S74" i="44"/>
  <c r="S73" i="44"/>
  <c r="S72" i="44"/>
  <c r="S71" i="44"/>
  <c r="S70" i="44"/>
  <c r="S69" i="44"/>
  <c r="S68" i="44"/>
  <c r="S67" i="44"/>
  <c r="S66" i="44"/>
  <c r="S65" i="44"/>
  <c r="S64" i="44"/>
  <c r="S63" i="44"/>
  <c r="S62" i="44"/>
  <c r="S61" i="44"/>
  <c r="S60" i="44"/>
  <c r="S59" i="44"/>
  <c r="S58" i="44"/>
  <c r="S57" i="44"/>
  <c r="S56" i="44"/>
  <c r="S55" i="44"/>
  <c r="S54" i="44"/>
  <c r="S53" i="44"/>
  <c r="S52" i="44"/>
  <c r="S51" i="44"/>
  <c r="S50" i="44"/>
  <c r="S49" i="44"/>
  <c r="S48" i="44"/>
  <c r="S47" i="44"/>
  <c r="S46" i="44"/>
  <c r="S45" i="44"/>
  <c r="S44" i="44"/>
  <c r="S43" i="44"/>
  <c r="S42" i="44"/>
  <c r="S41" i="44"/>
  <c r="S40" i="44"/>
  <c r="S39" i="44"/>
  <c r="S38" i="44"/>
  <c r="S37" i="44"/>
  <c r="S36" i="44"/>
  <c r="S35" i="44"/>
  <c r="S34" i="44"/>
  <c r="S33" i="44"/>
  <c r="S32" i="44"/>
  <c r="S31" i="44"/>
  <c r="S30" i="44"/>
  <c r="S29" i="44"/>
  <c r="S28" i="44"/>
  <c r="S27" i="44"/>
  <c r="S26" i="44"/>
  <c r="S25" i="44"/>
  <c r="S24" i="44"/>
  <c r="S23" i="44"/>
  <c r="S22" i="44"/>
  <c r="S21" i="44"/>
  <c r="S20" i="44"/>
  <c r="S19" i="44"/>
  <c r="S18" i="44"/>
  <c r="S17" i="44"/>
  <c r="S16" i="44"/>
  <c r="S15" i="44"/>
  <c r="S14" i="44"/>
  <c r="S13" i="44"/>
  <c r="R205" i="44"/>
  <c r="R204" i="44"/>
  <c r="R203" i="44"/>
  <c r="R202" i="44"/>
  <c r="R201" i="44"/>
  <c r="R200" i="44"/>
  <c r="R199" i="44"/>
  <c r="R198" i="44"/>
  <c r="R197" i="44"/>
  <c r="R196" i="44"/>
  <c r="R195" i="44"/>
  <c r="R194" i="44"/>
  <c r="R193" i="44"/>
  <c r="R192" i="44"/>
  <c r="R191" i="44"/>
  <c r="R190" i="44"/>
  <c r="R189" i="44"/>
  <c r="R188" i="44"/>
  <c r="R187" i="44"/>
  <c r="R186" i="44"/>
  <c r="R185" i="44"/>
  <c r="R184" i="44"/>
  <c r="R183" i="44"/>
  <c r="R182" i="44"/>
  <c r="R181" i="44"/>
  <c r="R180" i="44"/>
  <c r="R179" i="44"/>
  <c r="R178" i="44"/>
  <c r="R177" i="44"/>
  <c r="R176" i="44"/>
  <c r="R175" i="44"/>
  <c r="R174" i="44"/>
  <c r="R173" i="44"/>
  <c r="R172" i="44"/>
  <c r="R171" i="44"/>
  <c r="R170" i="44"/>
  <c r="R169" i="44"/>
  <c r="R168" i="44"/>
  <c r="R167" i="44"/>
  <c r="R166" i="44"/>
  <c r="R165" i="44"/>
  <c r="R164" i="44"/>
  <c r="R163" i="44"/>
  <c r="R162" i="44"/>
  <c r="R161" i="44"/>
  <c r="R160" i="44"/>
  <c r="R159" i="44"/>
  <c r="R158" i="44"/>
  <c r="R157" i="44"/>
  <c r="R156" i="44"/>
  <c r="R155" i="44"/>
  <c r="R154" i="44"/>
  <c r="R153" i="44"/>
  <c r="R152" i="44"/>
  <c r="R151" i="44"/>
  <c r="R150" i="44"/>
  <c r="R149" i="44"/>
  <c r="R148" i="44"/>
  <c r="R147" i="44"/>
  <c r="R146" i="44"/>
  <c r="R145" i="44"/>
  <c r="R144" i="44"/>
  <c r="R143" i="44"/>
  <c r="R142" i="44"/>
  <c r="R141" i="44"/>
  <c r="R140" i="44"/>
  <c r="R139" i="44"/>
  <c r="R138" i="44"/>
  <c r="R137" i="44"/>
  <c r="R136" i="44"/>
  <c r="R135" i="44"/>
  <c r="R134" i="44"/>
  <c r="R133" i="44"/>
  <c r="R132" i="44"/>
  <c r="R131" i="44"/>
  <c r="R130" i="44"/>
  <c r="R129" i="44"/>
  <c r="R128" i="44"/>
  <c r="R127" i="44"/>
  <c r="R126" i="44"/>
  <c r="R125" i="44"/>
  <c r="R124" i="44"/>
  <c r="R123" i="44"/>
  <c r="R122" i="44"/>
  <c r="R121" i="44"/>
  <c r="R120" i="44"/>
  <c r="R119" i="44"/>
  <c r="R118" i="44"/>
  <c r="R117" i="44"/>
  <c r="R116" i="44"/>
  <c r="R115" i="44"/>
  <c r="R114" i="44"/>
  <c r="R113" i="44"/>
  <c r="R112" i="44"/>
  <c r="R111" i="44"/>
  <c r="R110" i="44"/>
  <c r="R109" i="44"/>
  <c r="R108" i="44"/>
  <c r="R107" i="44"/>
  <c r="R106" i="44"/>
  <c r="R105" i="44"/>
  <c r="R104" i="44"/>
  <c r="R103" i="44"/>
  <c r="R102" i="44"/>
  <c r="R101" i="44"/>
  <c r="R100" i="44"/>
  <c r="R99" i="44"/>
  <c r="R98" i="44"/>
  <c r="R97" i="44"/>
  <c r="R96" i="44"/>
  <c r="R95" i="44"/>
  <c r="R94" i="44"/>
  <c r="R93" i="44"/>
  <c r="R92" i="44"/>
  <c r="R91" i="44"/>
  <c r="R90" i="44"/>
  <c r="R89" i="44"/>
  <c r="R88" i="44"/>
  <c r="R87" i="44"/>
  <c r="R86" i="44"/>
  <c r="R85" i="44"/>
  <c r="R84" i="44"/>
  <c r="R83" i="44"/>
  <c r="R82" i="44"/>
  <c r="R81" i="44"/>
  <c r="R80" i="44"/>
  <c r="R79" i="44"/>
  <c r="R78" i="44"/>
  <c r="R77" i="44"/>
  <c r="R76" i="44"/>
  <c r="R75" i="44"/>
  <c r="R74" i="44"/>
  <c r="R73" i="44"/>
  <c r="R72" i="44"/>
  <c r="R71" i="44"/>
  <c r="R70" i="44"/>
  <c r="R69" i="44"/>
  <c r="R68" i="44"/>
  <c r="R67" i="44"/>
  <c r="R66" i="44"/>
  <c r="R65" i="44"/>
  <c r="R64" i="44"/>
  <c r="R63" i="44"/>
  <c r="R62" i="44"/>
  <c r="R61" i="44"/>
  <c r="R60" i="44"/>
  <c r="R59" i="44"/>
  <c r="R58" i="44"/>
  <c r="R57" i="44"/>
  <c r="R56" i="44"/>
  <c r="R55" i="44"/>
  <c r="R54" i="44"/>
  <c r="R53" i="44"/>
  <c r="R52" i="44"/>
  <c r="R51" i="44"/>
  <c r="R50" i="44"/>
  <c r="R49" i="44"/>
  <c r="R48" i="44"/>
  <c r="R47" i="44"/>
  <c r="R46" i="44"/>
  <c r="R45" i="44"/>
  <c r="R44" i="44"/>
  <c r="R43" i="44"/>
  <c r="R42" i="44"/>
  <c r="R41" i="44"/>
  <c r="R40" i="44"/>
  <c r="R39" i="44"/>
  <c r="R38" i="44"/>
  <c r="R37" i="44"/>
  <c r="R36" i="44"/>
  <c r="R35" i="44"/>
  <c r="R34" i="44"/>
  <c r="R33" i="44"/>
  <c r="R32" i="44"/>
  <c r="R31" i="44"/>
  <c r="R30" i="44"/>
  <c r="R29" i="44"/>
  <c r="R28" i="44"/>
  <c r="R27" i="44"/>
  <c r="R26" i="44"/>
  <c r="R25" i="44"/>
  <c r="R24" i="44"/>
  <c r="R23" i="44"/>
  <c r="R22" i="44"/>
  <c r="R21" i="44"/>
  <c r="R20" i="44"/>
  <c r="R19" i="44"/>
  <c r="R18" i="44"/>
  <c r="R17" i="44"/>
  <c r="R16" i="44"/>
  <c r="R15" i="44"/>
  <c r="R14" i="44"/>
  <c r="C6" i="44" s="1"/>
  <c r="D6" i="45"/>
  <c r="B7" i="45"/>
  <c r="B8" i="45"/>
  <c r="B9" i="45"/>
  <c r="B10" i="45"/>
  <c r="B11" i="45"/>
  <c r="B12" i="45"/>
  <c r="B13" i="45"/>
  <c r="B14" i="45"/>
  <c r="B15" i="45"/>
  <c r="B16" i="45"/>
  <c r="B17" i="45"/>
  <c r="B18" i="45"/>
  <c r="B19" i="45"/>
  <c r="B20" i="45"/>
  <c r="B21" i="45"/>
  <c r="B22" i="45"/>
  <c r="B23" i="45"/>
  <c r="B24" i="45"/>
  <c r="B25" i="45"/>
  <c r="B26" i="45"/>
  <c r="B27" i="45"/>
  <c r="B28" i="45"/>
  <c r="B29" i="45"/>
  <c r="B30" i="45"/>
  <c r="B31" i="45"/>
  <c r="B32" i="45"/>
  <c r="B33" i="45"/>
  <c r="B34" i="45"/>
  <c r="B35" i="45"/>
  <c r="B36" i="45"/>
  <c r="B37" i="45"/>
  <c r="B38" i="45"/>
  <c r="B39" i="45"/>
  <c r="B40" i="45"/>
  <c r="B41" i="45"/>
  <c r="B42" i="45"/>
  <c r="B43" i="45"/>
  <c r="B44" i="45"/>
  <c r="B45" i="45"/>
  <c r="B46" i="45"/>
  <c r="B47" i="45"/>
  <c r="B48" i="45"/>
  <c r="B49" i="45"/>
  <c r="B50" i="45"/>
  <c r="B51" i="45"/>
  <c r="B52" i="45"/>
  <c r="B53" i="45"/>
  <c r="B54" i="45"/>
  <c r="B55" i="45"/>
  <c r="B56" i="45"/>
  <c r="B57" i="45"/>
  <c r="B58" i="45"/>
  <c r="B59" i="45"/>
  <c r="B60" i="45"/>
  <c r="B61" i="45"/>
  <c r="B62" i="45"/>
  <c r="B63" i="45"/>
  <c r="B64" i="45"/>
  <c r="B65" i="45"/>
  <c r="B66" i="45"/>
  <c r="B67" i="45"/>
  <c r="B68" i="45"/>
  <c r="B69" i="45"/>
  <c r="B70" i="45"/>
  <c r="B71" i="45"/>
  <c r="B72" i="45"/>
  <c r="B73" i="45"/>
  <c r="B74" i="45"/>
  <c r="B75" i="45"/>
  <c r="B76" i="45"/>
  <c r="B77" i="45"/>
  <c r="B78" i="45"/>
  <c r="B79" i="45"/>
  <c r="B80" i="45"/>
  <c r="B81" i="45"/>
  <c r="B82" i="45"/>
  <c r="B83" i="45"/>
  <c r="B84" i="45"/>
  <c r="B85" i="45"/>
  <c r="B86" i="45"/>
  <c r="B87" i="45"/>
  <c r="B88" i="45"/>
  <c r="B89" i="45"/>
  <c r="B90" i="45"/>
  <c r="B91" i="45"/>
  <c r="B92" i="45"/>
  <c r="B93" i="45"/>
  <c r="B94" i="45"/>
  <c r="B95" i="45"/>
  <c r="B96" i="45"/>
  <c r="B97" i="45"/>
  <c r="B98" i="45"/>
  <c r="B99" i="45"/>
  <c r="B100" i="45"/>
  <c r="B101" i="45"/>
  <c r="B102" i="45"/>
  <c r="B103" i="45"/>
  <c r="B104" i="45"/>
  <c r="B105" i="45"/>
  <c r="B106" i="45"/>
  <c r="B6" i="45"/>
  <c r="DM94" i="16"/>
  <c r="DM95" i="16"/>
  <c r="DM93" i="16"/>
  <c r="DM86" i="16"/>
  <c r="DM87" i="16"/>
  <c r="DM88" i="16"/>
  <c r="DM89" i="16"/>
  <c r="DM90" i="16"/>
  <c r="DM91" i="16"/>
  <c r="DM92" i="16"/>
  <c r="DM85" i="16"/>
  <c r="DM71" i="16"/>
  <c r="DM72" i="16"/>
  <c r="DM73" i="16"/>
  <c r="DM74" i="16"/>
  <c r="DM75" i="16"/>
  <c r="DM76" i="16"/>
  <c r="DM77" i="16"/>
  <c r="DM78" i="16"/>
  <c r="DM79" i="16"/>
  <c r="DM80" i="16"/>
  <c r="DM81" i="16"/>
  <c r="DM82" i="16"/>
  <c r="DM83" i="16"/>
  <c r="DM84" i="16"/>
  <c r="DM70" i="16"/>
  <c r="DM67" i="16"/>
  <c r="DM68" i="16"/>
  <c r="DM69" i="16"/>
  <c r="DM66" i="16"/>
  <c r="DM54" i="16"/>
  <c r="DM55" i="16"/>
  <c r="DM56" i="16"/>
  <c r="DM57" i="16"/>
  <c r="DM58" i="16"/>
  <c r="DM59" i="16"/>
  <c r="DM60" i="16"/>
  <c r="DM61" i="16"/>
  <c r="DM62" i="16"/>
  <c r="DM63" i="16"/>
  <c r="DM64" i="16"/>
  <c r="DM65" i="16"/>
  <c r="DM47" i="16"/>
  <c r="DM48" i="16"/>
  <c r="DM49" i="16"/>
  <c r="DM50" i="16"/>
  <c r="DM51" i="16"/>
  <c r="DM52" i="16"/>
  <c r="DM53" i="16"/>
  <c r="DM46" i="16"/>
  <c r="DM38" i="16"/>
  <c r="DM39" i="16"/>
  <c r="DM40" i="16"/>
  <c r="DM41" i="16"/>
  <c r="DM42" i="16"/>
  <c r="O15" i="7" s="1"/>
  <c r="DM43" i="16"/>
  <c r="DM44" i="16"/>
  <c r="O14" i="7" s="1"/>
  <c r="DM45" i="16"/>
  <c r="DM37" i="16"/>
  <c r="DM8" i="16"/>
  <c r="DM9" i="16"/>
  <c r="DM10" i="16"/>
  <c r="DM11" i="16"/>
  <c r="DM12" i="16"/>
  <c r="DM13" i="16"/>
  <c r="DM14" i="16"/>
  <c r="DM15" i="16"/>
  <c r="O19" i="7" s="1"/>
  <c r="O13" i="7"/>
  <c r="DM16" i="16"/>
  <c r="DM17" i="16"/>
  <c r="DM18" i="16"/>
  <c r="DM19" i="16"/>
  <c r="DM20" i="16"/>
  <c r="DM21" i="16"/>
  <c r="DM22" i="16"/>
  <c r="DM23" i="16"/>
  <c r="DM24" i="16"/>
  <c r="DM25" i="16"/>
  <c r="DM26" i="16"/>
  <c r="DM27" i="16"/>
  <c r="DM28" i="16"/>
  <c r="DM29" i="16"/>
  <c r="DM30" i="16"/>
  <c r="DM31" i="16"/>
  <c r="DM32" i="16"/>
  <c r="DM33" i="16"/>
  <c r="DM34" i="16"/>
  <c r="DM35" i="16"/>
  <c r="DM36" i="16"/>
  <c r="DM7" i="16"/>
  <c r="O17" i="7"/>
  <c r="O16" i="7"/>
  <c r="E55" i="7"/>
  <c r="G55" i="7" s="1"/>
  <c r="E54" i="7"/>
  <c r="G54" i="7" s="1"/>
  <c r="E53" i="7"/>
  <c r="G53" i="7" s="1"/>
  <c r="E52" i="7"/>
  <c r="G52" i="7" s="1"/>
  <c r="E51" i="7"/>
  <c r="G51" i="7" s="1"/>
  <c r="E50" i="7"/>
  <c r="G50" i="7" s="1"/>
  <c r="E49" i="7"/>
  <c r="G49" i="7" s="1"/>
  <c r="E48" i="7"/>
  <c r="G48" i="7" s="1"/>
  <c r="E47" i="7"/>
  <c r="G47" i="7" s="1"/>
  <c r="E46" i="7"/>
  <c r="G46" i="7" s="1"/>
  <c r="E45" i="7"/>
  <c r="G45" i="7" s="1"/>
  <c r="E44" i="7"/>
  <c r="G44" i="7" s="1"/>
  <c r="E43" i="7"/>
  <c r="G43" i="7" s="1"/>
  <c r="E42" i="7"/>
  <c r="G42" i="7" s="1"/>
  <c r="E41" i="7"/>
  <c r="G41" i="7" s="1"/>
  <c r="E40" i="7"/>
  <c r="G40" i="7" s="1"/>
  <c r="E39" i="7"/>
  <c r="G39" i="7" s="1"/>
  <c r="E38" i="7"/>
  <c r="G38" i="7" s="1"/>
  <c r="E37" i="7"/>
  <c r="G37" i="7" s="1"/>
  <c r="E36" i="7"/>
  <c r="G36" i="7" s="1"/>
  <c r="E35" i="7"/>
  <c r="G35" i="7" s="1"/>
  <c r="E34" i="7"/>
  <c r="G34" i="7" s="1"/>
  <c r="E33" i="7"/>
  <c r="G33" i="7" s="1"/>
  <c r="E32" i="7"/>
  <c r="G32" i="7" s="1"/>
  <c r="E31" i="7"/>
  <c r="G31" i="7" s="1"/>
  <c r="E30" i="7"/>
  <c r="G30" i="7" s="1"/>
  <c r="E29" i="7"/>
  <c r="G29" i="7" s="1"/>
  <c r="E28" i="7"/>
  <c r="G28" i="7" s="1"/>
  <c r="E27" i="7"/>
  <c r="G27" i="7" s="1"/>
  <c r="E26" i="7"/>
  <c r="G26" i="7" s="1"/>
  <c r="E25" i="7"/>
  <c r="G25" i="7" s="1"/>
  <c r="E24" i="7"/>
  <c r="G24" i="7" s="1"/>
  <c r="E23" i="7"/>
  <c r="G23" i="7" s="1"/>
  <c r="E22" i="7"/>
  <c r="G22" i="7" s="1"/>
  <c r="E21" i="7"/>
  <c r="G21" i="7" s="1"/>
  <c r="E20" i="7"/>
  <c r="G20" i="7" s="1"/>
  <c r="E19" i="7"/>
  <c r="G19" i="7" s="1"/>
  <c r="E18" i="7"/>
  <c r="G18" i="7" s="1"/>
  <c r="E17" i="7"/>
  <c r="G17" i="7" s="1"/>
  <c r="E16" i="7"/>
  <c r="G16" i="7" s="1"/>
  <c r="E15" i="7"/>
  <c r="G15" i="7" s="1"/>
  <c r="E14" i="7"/>
  <c r="G14" i="7" s="1"/>
  <c r="E13" i="7"/>
  <c r="G13" i="7" s="1"/>
  <c r="E12" i="7"/>
  <c r="G12" i="7" s="1"/>
  <c r="G25" i="25"/>
  <c r="A113" i="41"/>
  <c r="A106" i="45"/>
  <c r="A72" i="41"/>
  <c r="A65" i="45" s="1"/>
  <c r="A73" i="41"/>
  <c r="A66" i="45" s="1"/>
  <c r="C66" i="45" s="1"/>
  <c r="A74" i="41"/>
  <c r="A67" i="45"/>
  <c r="D67" i="45" s="1"/>
  <c r="A75" i="41"/>
  <c r="A68" i="45"/>
  <c r="C68" i="45" s="1"/>
  <c r="E68" i="45" s="1"/>
  <c r="A76" i="41"/>
  <c r="A69" i="45"/>
  <c r="C69" i="45" s="1"/>
  <c r="E69" i="45" s="1"/>
  <c r="A77" i="41"/>
  <c r="A70" i="45"/>
  <c r="A78" i="41"/>
  <c r="A71" i="45"/>
  <c r="D71" i="45" s="1"/>
  <c r="A79" i="41"/>
  <c r="A72" i="45"/>
  <c r="A80" i="41"/>
  <c r="A73" i="45"/>
  <c r="C73" i="45" s="1"/>
  <c r="E73" i="45" s="1"/>
  <c r="A81" i="41"/>
  <c r="A74" i="45"/>
  <c r="C74" i="45" s="1"/>
  <c r="A82" i="41"/>
  <c r="A75" i="45"/>
  <c r="D75" i="45" s="1"/>
  <c r="A83" i="41"/>
  <c r="A76" i="45"/>
  <c r="C76" i="45" s="1"/>
  <c r="E76" i="45" s="1"/>
  <c r="A84" i="41"/>
  <c r="A77" i="45"/>
  <c r="C77" i="45" s="1"/>
  <c r="E77" i="45" s="1"/>
  <c r="A85" i="41"/>
  <c r="A78" i="45"/>
  <c r="A86" i="41"/>
  <c r="A79" i="45"/>
  <c r="D79" i="45" s="1"/>
  <c r="A87" i="41"/>
  <c r="A80" i="45"/>
  <c r="A88" i="41"/>
  <c r="A81" i="45"/>
  <c r="D81" i="45" s="1"/>
  <c r="A89" i="41"/>
  <c r="A82" i="45"/>
  <c r="C82" i="45" s="1"/>
  <c r="A90" i="41"/>
  <c r="A83" i="45"/>
  <c r="D83" i="45" s="1"/>
  <c r="A91" i="41"/>
  <c r="A84" i="45"/>
  <c r="C84" i="45" s="1"/>
  <c r="E84" i="45" s="1"/>
  <c r="A92" i="41"/>
  <c r="A85" i="45"/>
  <c r="D85" i="45" s="1"/>
  <c r="A93" i="41"/>
  <c r="A86" i="45"/>
  <c r="A94" i="41"/>
  <c r="A87" i="45"/>
  <c r="C87" i="45" s="1"/>
  <c r="E87" i="45" s="1"/>
  <c r="A95" i="41"/>
  <c r="A88" i="45"/>
  <c r="A96" i="41"/>
  <c r="A89" i="45"/>
  <c r="C89" i="45" s="1"/>
  <c r="E89" i="45" s="1"/>
  <c r="A97" i="41"/>
  <c r="A90" i="45"/>
  <c r="C90" i="45" s="1"/>
  <c r="A98" i="41"/>
  <c r="A91" i="45"/>
  <c r="D91" i="45" s="1"/>
  <c r="A99" i="41"/>
  <c r="A92" i="45"/>
  <c r="C92" i="45" s="1"/>
  <c r="E92" i="45" s="1"/>
  <c r="A100" i="41"/>
  <c r="A93" i="45"/>
  <c r="D93" i="45" s="1"/>
  <c r="A101" i="41"/>
  <c r="A94" i="45"/>
  <c r="A102" i="41"/>
  <c r="A95" i="45"/>
  <c r="D95" i="45" s="1"/>
  <c r="A103" i="41"/>
  <c r="A91" i="42" s="1"/>
  <c r="A96" i="45"/>
  <c r="A104" i="41"/>
  <c r="A97" i="45"/>
  <c r="C97" i="45" s="1"/>
  <c r="E97" i="45" s="1"/>
  <c r="A105" i="41"/>
  <c r="A98" i="45"/>
  <c r="C98" i="45" s="1"/>
  <c r="A106" i="41"/>
  <c r="A99" i="45"/>
  <c r="D99" i="45" s="1"/>
  <c r="A107" i="41"/>
  <c r="A100" i="45"/>
  <c r="C100" i="45" s="1"/>
  <c r="E100" i="45" s="1"/>
  <c r="A108" i="41"/>
  <c r="A101" i="45"/>
  <c r="D101" i="45" s="1"/>
  <c r="A109" i="41"/>
  <c r="A102" i="45"/>
  <c r="A110" i="41"/>
  <c r="A103" i="45"/>
  <c r="C103" i="45" s="1"/>
  <c r="E103" i="45" s="1"/>
  <c r="A111" i="41"/>
  <c r="A104" i="45"/>
  <c r="A112" i="41"/>
  <c r="A105" i="45"/>
  <c r="C105" i="45" s="1"/>
  <c r="E105" i="45" s="1"/>
  <c r="A14" i="41"/>
  <c r="A7" i="45"/>
  <c r="C7" i="45" s="1"/>
  <c r="E7" i="45" s="1"/>
  <c r="A15" i="41"/>
  <c r="A8" i="45"/>
  <c r="A16" i="41"/>
  <c r="A9" i="45"/>
  <c r="C9" i="45" s="1"/>
  <c r="A17" i="41"/>
  <c r="A10" i="45"/>
  <c r="C10" i="45" s="1"/>
  <c r="E10" i="45" s="1"/>
  <c r="A18" i="41"/>
  <c r="A11" i="45"/>
  <c r="D11" i="45" s="1"/>
  <c r="A19" i="41"/>
  <c r="A12" i="45"/>
  <c r="C12" i="45" s="1"/>
  <c r="E12" i="45" s="1"/>
  <c r="A20" i="41"/>
  <c r="A13" i="45"/>
  <c r="A21" i="41"/>
  <c r="A14" i="45"/>
  <c r="C14" i="45" s="1"/>
  <c r="E14" i="45" s="1"/>
  <c r="A22" i="41"/>
  <c r="A15" i="45"/>
  <c r="A23" i="41"/>
  <c r="A16" i="45"/>
  <c r="C16" i="45" s="1"/>
  <c r="E16" i="45" s="1"/>
  <c r="A24" i="41"/>
  <c r="A17" i="45"/>
  <c r="C17" i="45" s="1"/>
  <c r="A25" i="41"/>
  <c r="A18" i="45"/>
  <c r="C18" i="45" s="1"/>
  <c r="E18" i="45" s="1"/>
  <c r="A26" i="41"/>
  <c r="A19" i="45"/>
  <c r="D19" i="45" s="1"/>
  <c r="A27" i="41"/>
  <c r="A20" i="45"/>
  <c r="C20" i="45" s="1"/>
  <c r="E20" i="45" s="1"/>
  <c r="A28" i="41"/>
  <c r="A21" i="45"/>
  <c r="A29" i="41"/>
  <c r="A22" i="45"/>
  <c r="C22" i="45" s="1"/>
  <c r="E22" i="45" s="1"/>
  <c r="A30" i="41"/>
  <c r="A23" i="45"/>
  <c r="A31" i="41"/>
  <c r="A24" i="45"/>
  <c r="C24" i="45" s="1"/>
  <c r="E24" i="45" s="1"/>
  <c r="A32" i="41"/>
  <c r="A25" i="45"/>
  <c r="C25" i="45" s="1"/>
  <c r="A33" i="41"/>
  <c r="A26" i="45"/>
  <c r="C26" i="45" s="1"/>
  <c r="E26" i="45" s="1"/>
  <c r="A34" i="41"/>
  <c r="A27" i="45"/>
  <c r="D27" i="45" s="1"/>
  <c r="A35" i="41"/>
  <c r="A28" i="45"/>
  <c r="C28" i="45" s="1"/>
  <c r="E28" i="45" s="1"/>
  <c r="A36" i="41"/>
  <c r="A29" i="45"/>
  <c r="A37" i="41"/>
  <c r="A30" i="45"/>
  <c r="C30" i="45" s="1"/>
  <c r="E30" i="45" s="1"/>
  <c r="A38" i="41"/>
  <c r="A31" i="45"/>
  <c r="A39" i="41"/>
  <c r="A32" i="45"/>
  <c r="C32" i="45" s="1"/>
  <c r="E32" i="45" s="1"/>
  <c r="A40" i="41"/>
  <c r="A33" i="45"/>
  <c r="C33" i="45" s="1"/>
  <c r="A41" i="41"/>
  <c r="A34" i="45"/>
  <c r="C34" i="45" s="1"/>
  <c r="E34" i="45" s="1"/>
  <c r="A42" i="41"/>
  <c r="A35" i="45"/>
  <c r="D35" i="45" s="1"/>
  <c r="A43" i="41"/>
  <c r="A36" i="45"/>
  <c r="C36" i="45" s="1"/>
  <c r="E36" i="45" s="1"/>
  <c r="A44" i="41"/>
  <c r="A37" i="45"/>
  <c r="A45" i="41"/>
  <c r="A38" i="45"/>
  <c r="C38" i="45" s="1"/>
  <c r="E38" i="45" s="1"/>
  <c r="A46" i="41"/>
  <c r="A39" i="45"/>
  <c r="A47" i="41"/>
  <c r="A40" i="45"/>
  <c r="C40" i="45" s="1"/>
  <c r="E40" i="45" s="1"/>
  <c r="A48" i="41"/>
  <c r="A41" i="45"/>
  <c r="C41" i="45" s="1"/>
  <c r="A49" i="41"/>
  <c r="A42" i="45"/>
  <c r="C42" i="45" s="1"/>
  <c r="E42" i="45" s="1"/>
  <c r="A50" i="41"/>
  <c r="A43" i="45"/>
  <c r="D43" i="45" s="1"/>
  <c r="A51" i="41"/>
  <c r="A44" i="45"/>
  <c r="C44" i="45" s="1"/>
  <c r="E44" i="45" s="1"/>
  <c r="A52" i="41"/>
  <c r="A45" i="45"/>
  <c r="C45" i="45" s="1"/>
  <c r="A53" i="41"/>
  <c r="A46" i="45"/>
  <c r="C46" i="45" s="1"/>
  <c r="E46" i="45" s="1"/>
  <c r="A54" i="41"/>
  <c r="A47" i="45"/>
  <c r="A55" i="41"/>
  <c r="A48" i="45"/>
  <c r="C48" i="45" s="1"/>
  <c r="E48" i="45" s="1"/>
  <c r="A56" i="41"/>
  <c r="A49" i="45"/>
  <c r="A57" i="41"/>
  <c r="A50" i="45"/>
  <c r="C50" i="45" s="1"/>
  <c r="E50" i="45" s="1"/>
  <c r="A58" i="41"/>
  <c r="A51" i="45"/>
  <c r="D51" i="45" s="1"/>
  <c r="A59" i="41"/>
  <c r="A52" i="45"/>
  <c r="C52" i="45" s="1"/>
  <c r="E52" i="45" s="1"/>
  <c r="A60" i="41"/>
  <c r="A53" i="45"/>
  <c r="D53" i="45" s="1"/>
  <c r="A61" i="41"/>
  <c r="A54" i="45"/>
  <c r="C54" i="45" s="1"/>
  <c r="E54" i="45" s="1"/>
  <c r="A62" i="41"/>
  <c r="A55" i="45"/>
  <c r="A63" i="41"/>
  <c r="A56" i="45"/>
  <c r="C56" i="45" s="1"/>
  <c r="E56" i="45" s="1"/>
  <c r="A64" i="41"/>
  <c r="A57" i="45"/>
  <c r="A65" i="41"/>
  <c r="A58" i="45"/>
  <c r="C58" i="45" s="1"/>
  <c r="E58" i="45" s="1"/>
  <c r="A66" i="41"/>
  <c r="A59" i="45"/>
  <c r="D59" i="45" s="1"/>
  <c r="A67" i="41"/>
  <c r="A60" i="45"/>
  <c r="C60" i="45" s="1"/>
  <c r="E60" i="45" s="1"/>
  <c r="A68" i="41"/>
  <c r="A61" i="45"/>
  <c r="D61" i="45" s="1"/>
  <c r="A69" i="41"/>
  <c r="A62" i="45"/>
  <c r="C62" i="45" s="1"/>
  <c r="E62" i="45" s="1"/>
  <c r="A70" i="41"/>
  <c r="A63" i="45"/>
  <c r="A71" i="41"/>
  <c r="A64" i="45" s="1"/>
  <c r="A13" i="41"/>
  <c r="A6" i="45" s="1"/>
  <c r="D62" i="45"/>
  <c r="D58" i="45"/>
  <c r="D54" i="45"/>
  <c r="D50" i="45"/>
  <c r="D46" i="45"/>
  <c r="D42" i="45"/>
  <c r="D38" i="45"/>
  <c r="D34" i="45"/>
  <c r="D30" i="45"/>
  <c r="D26" i="45"/>
  <c r="D22" i="45"/>
  <c r="D18" i="45"/>
  <c r="D14" i="45"/>
  <c r="D10" i="45"/>
  <c r="D105" i="45"/>
  <c r="C101" i="45"/>
  <c r="E101" i="45" s="1"/>
  <c r="D97" i="45"/>
  <c r="C93" i="45"/>
  <c r="D89" i="45"/>
  <c r="C85" i="45"/>
  <c r="E85" i="45" s="1"/>
  <c r="C81" i="45"/>
  <c r="D77" i="45"/>
  <c r="D73" i="45"/>
  <c r="D69" i="45"/>
  <c r="C6" i="45"/>
  <c r="E6" i="45" s="1"/>
  <c r="C61" i="45"/>
  <c r="C53" i="45"/>
  <c r="E53" i="45" s="1"/>
  <c r="D41" i="45"/>
  <c r="D33" i="45"/>
  <c r="D25" i="45"/>
  <c r="D17" i="45"/>
  <c r="D9" i="45"/>
  <c r="D100" i="45"/>
  <c r="D92" i="45"/>
  <c r="D84" i="45"/>
  <c r="D76" i="45"/>
  <c r="D68" i="45"/>
  <c r="D60" i="45"/>
  <c r="D56" i="45"/>
  <c r="D52" i="45"/>
  <c r="D48" i="45"/>
  <c r="D44" i="45"/>
  <c r="D40" i="45"/>
  <c r="D36" i="45"/>
  <c r="D32" i="45"/>
  <c r="D28" i="45"/>
  <c r="D24" i="45"/>
  <c r="D20" i="45"/>
  <c r="D12" i="45"/>
  <c r="C8" i="45"/>
  <c r="E8" i="45" s="1"/>
  <c r="D103" i="45"/>
  <c r="C99" i="45"/>
  <c r="E99" i="45" s="1"/>
  <c r="C95" i="45"/>
  <c r="E95" i="45" s="1"/>
  <c r="C91" i="45"/>
  <c r="E91" i="45" s="1"/>
  <c r="D87" i="45"/>
  <c r="C83" i="45"/>
  <c r="E83" i="45" s="1"/>
  <c r="C79" i="45"/>
  <c r="E79" i="45" s="1"/>
  <c r="C75" i="45"/>
  <c r="E75" i="45" s="1"/>
  <c r="C71" i="45"/>
  <c r="E71" i="45" s="1"/>
  <c r="C67" i="45"/>
  <c r="E67" i="45" s="1"/>
  <c r="C59" i="45"/>
  <c r="E59" i="45" s="1"/>
  <c r="C51" i="45"/>
  <c r="E51" i="45" s="1"/>
  <c r="C43" i="45"/>
  <c r="E43" i="45" s="1"/>
  <c r="C35" i="45"/>
  <c r="E35" i="45" s="1"/>
  <c r="C27" i="45"/>
  <c r="E27" i="45" s="1"/>
  <c r="C19" i="45"/>
  <c r="E19" i="45" s="1"/>
  <c r="C11" i="45"/>
  <c r="E11" i="45" s="1"/>
  <c r="D98" i="45"/>
  <c r="D90" i="45"/>
  <c r="D82" i="45"/>
  <c r="D74" i="45"/>
  <c r="B1" i="42"/>
  <c r="H1" i="42"/>
  <c r="B2" i="42"/>
  <c r="H2" i="42"/>
  <c r="B3" i="42"/>
  <c r="H3" i="42"/>
  <c r="B4" i="42"/>
  <c r="H4" i="42"/>
  <c r="B5" i="42"/>
  <c r="H5" i="42"/>
  <c r="B6" i="42"/>
  <c r="H6" i="42"/>
  <c r="B7" i="42"/>
  <c r="H7" i="42"/>
  <c r="B8" i="42"/>
  <c r="H8" i="42"/>
  <c r="B9" i="42"/>
  <c r="H9" i="42"/>
  <c r="B10" i="42"/>
  <c r="H10" i="42"/>
  <c r="B11" i="42"/>
  <c r="H11" i="42"/>
  <c r="B12" i="42"/>
  <c r="H12" i="42"/>
  <c r="B13" i="42"/>
  <c r="H13" i="42"/>
  <c r="B14" i="42"/>
  <c r="H14" i="42"/>
  <c r="B15" i="42"/>
  <c r="H15" i="42"/>
  <c r="B16" i="42"/>
  <c r="H16" i="42"/>
  <c r="B17" i="42"/>
  <c r="H17" i="42"/>
  <c r="B18" i="42"/>
  <c r="H18" i="42"/>
  <c r="B19" i="42"/>
  <c r="H19" i="42"/>
  <c r="B20" i="42"/>
  <c r="H20" i="42"/>
  <c r="B21" i="42"/>
  <c r="H21" i="42"/>
  <c r="B22" i="42"/>
  <c r="H22" i="42"/>
  <c r="B23" i="42"/>
  <c r="H23" i="42"/>
  <c r="B24" i="42"/>
  <c r="H24" i="42"/>
  <c r="B25" i="42"/>
  <c r="H25" i="42"/>
  <c r="B26" i="42"/>
  <c r="H26" i="42"/>
  <c r="B27" i="42"/>
  <c r="H27" i="42"/>
  <c r="B28" i="42"/>
  <c r="H28" i="42"/>
  <c r="B29" i="42"/>
  <c r="H29" i="42"/>
  <c r="B30" i="42"/>
  <c r="H30" i="42"/>
  <c r="B31" i="42"/>
  <c r="H31" i="42"/>
  <c r="B32" i="42"/>
  <c r="H32" i="42"/>
  <c r="B33" i="42"/>
  <c r="H33" i="42"/>
  <c r="B34" i="42"/>
  <c r="H34" i="42"/>
  <c r="B35" i="42"/>
  <c r="H35" i="42"/>
  <c r="B36" i="42"/>
  <c r="H36" i="42"/>
  <c r="B37" i="42"/>
  <c r="H37" i="42"/>
  <c r="B38" i="42"/>
  <c r="H38" i="42"/>
  <c r="B39" i="42"/>
  <c r="H39" i="42"/>
  <c r="B40" i="42"/>
  <c r="H40" i="42"/>
  <c r="B41" i="42"/>
  <c r="H41" i="42"/>
  <c r="B42" i="42"/>
  <c r="H42" i="42"/>
  <c r="B43" i="42"/>
  <c r="H43" i="42"/>
  <c r="B44" i="42"/>
  <c r="H44" i="42"/>
  <c r="B45" i="42"/>
  <c r="H45" i="42"/>
  <c r="B46" i="42"/>
  <c r="H46" i="42"/>
  <c r="B47" i="42"/>
  <c r="H47" i="42"/>
  <c r="B48" i="42"/>
  <c r="H48" i="42"/>
  <c r="B49" i="42"/>
  <c r="H49" i="42"/>
  <c r="B50" i="42"/>
  <c r="H50" i="42"/>
  <c r="B51" i="42"/>
  <c r="H51" i="42"/>
  <c r="B52" i="42"/>
  <c r="H52" i="42"/>
  <c r="B53" i="42"/>
  <c r="H53" i="42"/>
  <c r="B54" i="42"/>
  <c r="H54" i="42"/>
  <c r="B55" i="42"/>
  <c r="H55" i="42"/>
  <c r="B56" i="42"/>
  <c r="H56" i="42"/>
  <c r="B57" i="42"/>
  <c r="H57" i="42"/>
  <c r="B58" i="42"/>
  <c r="H58" i="42"/>
  <c r="B59" i="42"/>
  <c r="H59" i="42"/>
  <c r="B60" i="42"/>
  <c r="H60" i="42"/>
  <c r="B61" i="42"/>
  <c r="H61" i="42"/>
  <c r="B62" i="42"/>
  <c r="H62" i="42"/>
  <c r="B63" i="42"/>
  <c r="H63" i="42"/>
  <c r="B64" i="42"/>
  <c r="H64" i="42"/>
  <c r="B65" i="42"/>
  <c r="H65" i="42"/>
  <c r="B66" i="42"/>
  <c r="H66" i="42"/>
  <c r="B67" i="42"/>
  <c r="H67" i="42"/>
  <c r="B68" i="42"/>
  <c r="H68" i="42"/>
  <c r="B69" i="42"/>
  <c r="H69" i="42"/>
  <c r="B70" i="42"/>
  <c r="H70" i="42"/>
  <c r="B71" i="42"/>
  <c r="H71" i="42"/>
  <c r="B72" i="42"/>
  <c r="H72" i="42"/>
  <c r="B73" i="42"/>
  <c r="H73" i="42"/>
  <c r="B74" i="42"/>
  <c r="H74" i="42"/>
  <c r="B75" i="42"/>
  <c r="H75" i="42"/>
  <c r="B76" i="42"/>
  <c r="H76" i="42"/>
  <c r="B77" i="42"/>
  <c r="H77" i="42"/>
  <c r="B78" i="42"/>
  <c r="H78" i="42"/>
  <c r="B79" i="42"/>
  <c r="H79" i="42"/>
  <c r="B80" i="42"/>
  <c r="H80" i="42"/>
  <c r="B81" i="42"/>
  <c r="H81" i="42"/>
  <c r="B82" i="42"/>
  <c r="H82" i="42"/>
  <c r="B83" i="42"/>
  <c r="H83" i="42"/>
  <c r="B84" i="42"/>
  <c r="H84" i="42"/>
  <c r="B85" i="42"/>
  <c r="H85" i="42"/>
  <c r="B86" i="42"/>
  <c r="H86" i="42"/>
  <c r="B87" i="42"/>
  <c r="H87" i="42"/>
  <c r="B88" i="42"/>
  <c r="H88" i="42"/>
  <c r="B89" i="42"/>
  <c r="H89" i="42"/>
  <c r="B90" i="42"/>
  <c r="H90" i="42"/>
  <c r="B91" i="42"/>
  <c r="H91" i="42"/>
  <c r="B92" i="42"/>
  <c r="H92" i="42"/>
  <c r="B93" i="42"/>
  <c r="H93" i="42"/>
  <c r="B94" i="42"/>
  <c r="H94" i="42"/>
  <c r="B95" i="42"/>
  <c r="H95" i="42"/>
  <c r="B96" i="42"/>
  <c r="H96" i="42"/>
  <c r="B97" i="42"/>
  <c r="H97" i="42"/>
  <c r="B98" i="42"/>
  <c r="H98" i="42"/>
  <c r="B99" i="42"/>
  <c r="H99" i="42"/>
  <c r="B100" i="42"/>
  <c r="H100" i="42"/>
  <c r="B101" i="42"/>
  <c r="H101" i="42"/>
  <c r="A11" i="42"/>
  <c r="A27" i="42"/>
  <c r="A43" i="42"/>
  <c r="A75" i="42"/>
  <c r="D14" i="41"/>
  <c r="D15" i="41"/>
  <c r="D16" i="41"/>
  <c r="D17" i="41"/>
  <c r="D18" i="41"/>
  <c r="D19" i="41"/>
  <c r="D20" i="41"/>
  <c r="D21" i="41"/>
  <c r="D22" i="41"/>
  <c r="D23" i="41"/>
  <c r="D24" i="41"/>
  <c r="D25" i="41"/>
  <c r="D26" i="41"/>
  <c r="D27" i="41"/>
  <c r="D28" i="41"/>
  <c r="D29" i="41"/>
  <c r="D30" i="41"/>
  <c r="D31" i="41"/>
  <c r="D32" i="41"/>
  <c r="D33" i="41"/>
  <c r="D34" i="41"/>
  <c r="D35" i="41"/>
  <c r="D36" i="41"/>
  <c r="D37" i="41"/>
  <c r="D38" i="41"/>
  <c r="D39" i="41"/>
  <c r="D40" i="41"/>
  <c r="D41" i="41"/>
  <c r="D42" i="41"/>
  <c r="D43" i="41"/>
  <c r="D44" i="41"/>
  <c r="D45" i="41"/>
  <c r="D46" i="41"/>
  <c r="D47" i="41"/>
  <c r="D48" i="41"/>
  <c r="D49" i="41"/>
  <c r="D50" i="41"/>
  <c r="D51" i="41"/>
  <c r="D52" i="41"/>
  <c r="D53" i="41"/>
  <c r="D54" i="41"/>
  <c r="D55" i="41"/>
  <c r="D56" i="41"/>
  <c r="D57" i="41"/>
  <c r="D58" i="41"/>
  <c r="D59" i="41"/>
  <c r="D60" i="41"/>
  <c r="D61" i="41"/>
  <c r="D62" i="41"/>
  <c r="D63" i="41"/>
  <c r="D64" i="41"/>
  <c r="D65" i="41"/>
  <c r="D66" i="41"/>
  <c r="D67" i="41"/>
  <c r="D68" i="41"/>
  <c r="D69" i="41"/>
  <c r="D70" i="41"/>
  <c r="D71" i="41"/>
  <c r="D72" i="41"/>
  <c r="D73" i="41"/>
  <c r="D74" i="41"/>
  <c r="D75" i="41"/>
  <c r="D76" i="41"/>
  <c r="D77" i="41"/>
  <c r="D78" i="41"/>
  <c r="D79" i="41"/>
  <c r="D80" i="41"/>
  <c r="D81" i="41"/>
  <c r="D82" i="41"/>
  <c r="D83" i="41"/>
  <c r="D84" i="41"/>
  <c r="D85" i="41"/>
  <c r="D86" i="41"/>
  <c r="D87" i="41"/>
  <c r="D88" i="41"/>
  <c r="D89" i="41"/>
  <c r="D90" i="41"/>
  <c r="D91" i="41"/>
  <c r="D92" i="41"/>
  <c r="D93" i="41"/>
  <c r="D94" i="41"/>
  <c r="D95" i="41"/>
  <c r="D96" i="41"/>
  <c r="D97" i="41"/>
  <c r="D98" i="41"/>
  <c r="D99" i="41"/>
  <c r="D100" i="41"/>
  <c r="D101" i="41"/>
  <c r="D102" i="41"/>
  <c r="D103" i="41"/>
  <c r="D104" i="41"/>
  <c r="D105" i="41"/>
  <c r="D106" i="41"/>
  <c r="D107" i="41"/>
  <c r="D108" i="41"/>
  <c r="D109" i="41"/>
  <c r="D110" i="41"/>
  <c r="D111" i="41"/>
  <c r="D112" i="41"/>
  <c r="D113" i="41"/>
  <c r="D13" i="41"/>
  <c r="M31" i="25"/>
  <c r="B123" i="40" a="1"/>
  <c r="B123" i="40" s="1"/>
  <c r="C123" i="40" s="1"/>
  <c r="B122" i="40" a="1"/>
  <c r="B122" i="40" s="1"/>
  <c r="C122" i="40" s="1"/>
  <c r="B121" i="40" a="1"/>
  <c r="B121" i="40" s="1"/>
  <c r="C121" i="40" s="1"/>
  <c r="B120" i="40" a="1"/>
  <c r="B120" i="40" s="1"/>
  <c r="C120" i="40" s="1"/>
  <c r="B119" i="40" a="1"/>
  <c r="B119" i="40" s="1"/>
  <c r="C119" i="40" s="1"/>
  <c r="B118" i="40" a="1"/>
  <c r="B118" i="40" s="1"/>
  <c r="C118" i="40" s="1"/>
  <c r="B117" i="40" a="1"/>
  <c r="B117" i="40" s="1"/>
  <c r="C117" i="40" s="1"/>
  <c r="B116" i="40" a="1"/>
  <c r="B116" i="40" s="1"/>
  <c r="C116" i="40" s="1"/>
  <c r="B115" i="40" a="1"/>
  <c r="B115" i="40" s="1"/>
  <c r="C115" i="40" s="1"/>
  <c r="B114" i="40" a="1"/>
  <c r="B114" i="40" s="1"/>
  <c r="C114" i="40" s="1"/>
  <c r="B113" i="40" a="1"/>
  <c r="B113" i="40" s="1"/>
  <c r="C113" i="40" s="1"/>
  <c r="B112" i="40" a="1"/>
  <c r="B112" i="40" s="1"/>
  <c r="C112" i="40" s="1"/>
  <c r="B111" i="40" a="1"/>
  <c r="B111" i="40" s="1"/>
  <c r="C111" i="40" s="1"/>
  <c r="B110" i="40" a="1"/>
  <c r="B110" i="40" s="1"/>
  <c r="C110" i="40" s="1"/>
  <c r="B109" i="40" a="1"/>
  <c r="B109" i="40" s="1"/>
  <c r="C109" i="40" s="1"/>
  <c r="B108" i="40" a="1"/>
  <c r="B108" i="40" s="1"/>
  <c r="C108" i="40" s="1"/>
  <c r="B107" i="40" a="1"/>
  <c r="B107" i="40" s="1"/>
  <c r="C107" i="40" s="1"/>
  <c r="B106" i="40" a="1"/>
  <c r="B106" i="40" s="1"/>
  <c r="C106" i="40" s="1"/>
  <c r="B105" i="40" a="1"/>
  <c r="B105" i="40" s="1"/>
  <c r="C105" i="40" s="1"/>
  <c r="B104" i="40" a="1"/>
  <c r="B104" i="40" s="1"/>
  <c r="C104" i="40" s="1"/>
  <c r="B103" i="40" a="1"/>
  <c r="B103" i="40" s="1"/>
  <c r="C103" i="40" s="1"/>
  <c r="B102" i="40" a="1"/>
  <c r="B102" i="40" s="1"/>
  <c r="C102" i="40" s="1"/>
  <c r="B101" i="40" a="1"/>
  <c r="B101" i="40" s="1"/>
  <c r="C101" i="40" s="1"/>
  <c r="B100" i="40" a="1"/>
  <c r="B100" i="40" s="1"/>
  <c r="C100" i="40" s="1"/>
  <c r="B99" i="40" a="1"/>
  <c r="B99" i="40" s="1"/>
  <c r="C99" i="40" s="1"/>
  <c r="B98" i="40" a="1"/>
  <c r="B98" i="40" s="1"/>
  <c r="C98" i="40" s="1"/>
  <c r="B97" i="40" a="1"/>
  <c r="B97" i="40" s="1"/>
  <c r="C97" i="40" s="1"/>
  <c r="B96" i="40" a="1"/>
  <c r="B96" i="40" s="1"/>
  <c r="C96" i="40" s="1"/>
  <c r="B95" i="40" a="1"/>
  <c r="B95" i="40" s="1"/>
  <c r="C95" i="40" s="1"/>
  <c r="B94" i="40" a="1"/>
  <c r="B94" i="40" s="1"/>
  <c r="C94" i="40" s="1"/>
  <c r="B93" i="40" a="1"/>
  <c r="B93" i="40" s="1"/>
  <c r="C93" i="40" s="1"/>
  <c r="B92" i="40" a="1"/>
  <c r="B92" i="40" s="1"/>
  <c r="C92" i="40" s="1"/>
  <c r="B91" i="40" a="1"/>
  <c r="B91" i="40" s="1"/>
  <c r="C91" i="40" s="1"/>
  <c r="B90" i="40" a="1"/>
  <c r="B90" i="40" s="1"/>
  <c r="C90" i="40" s="1"/>
  <c r="B89" i="40" a="1"/>
  <c r="B89" i="40" s="1"/>
  <c r="C89" i="40" s="1"/>
  <c r="B88" i="40" a="1"/>
  <c r="B88" i="40" s="1"/>
  <c r="C88" i="40" s="1"/>
  <c r="B87" i="40" a="1"/>
  <c r="B87" i="40" s="1"/>
  <c r="C87" i="40" s="1"/>
  <c r="B86" i="40" a="1"/>
  <c r="B86" i="40" s="1"/>
  <c r="C86" i="40" s="1"/>
  <c r="B85" i="40" a="1"/>
  <c r="B85" i="40" s="1"/>
  <c r="C85" i="40" s="1"/>
  <c r="B84" i="40" a="1"/>
  <c r="B84" i="40" s="1"/>
  <c r="C84" i="40" s="1"/>
  <c r="B83" i="40" a="1"/>
  <c r="B83" i="40" s="1"/>
  <c r="C83" i="40" s="1"/>
  <c r="B82" i="40" a="1"/>
  <c r="B82" i="40" s="1"/>
  <c r="C82" i="40" s="1"/>
  <c r="B81" i="40" a="1"/>
  <c r="B81" i="40" s="1"/>
  <c r="C81" i="40" s="1"/>
  <c r="B80" i="40" a="1"/>
  <c r="B80" i="40" s="1"/>
  <c r="C80" i="40" s="1"/>
  <c r="B79" i="40" a="1"/>
  <c r="B79" i="40" s="1"/>
  <c r="C79" i="40" s="1"/>
  <c r="B78" i="40" a="1"/>
  <c r="B78" i="40" s="1"/>
  <c r="C78" i="40" s="1"/>
  <c r="B77" i="40" a="1"/>
  <c r="B77" i="40" s="1"/>
  <c r="C77" i="40" s="1"/>
  <c r="B76" i="40" a="1"/>
  <c r="B76" i="40" s="1"/>
  <c r="C76" i="40" s="1"/>
  <c r="B75" i="40" a="1"/>
  <c r="B75" i="40" s="1"/>
  <c r="C75" i="40" s="1"/>
  <c r="B74" i="40" a="1"/>
  <c r="B74" i="40" s="1"/>
  <c r="C74" i="40" s="1"/>
  <c r="B73" i="40" a="1"/>
  <c r="B73" i="40" s="1"/>
  <c r="C73" i="40" s="1"/>
  <c r="B72" i="40" a="1"/>
  <c r="B72" i="40" s="1"/>
  <c r="C72" i="40" s="1"/>
  <c r="B71" i="40" a="1"/>
  <c r="B71" i="40" s="1"/>
  <c r="C71" i="40" s="1"/>
  <c r="B70" i="40" a="1"/>
  <c r="B70" i="40" s="1"/>
  <c r="C70" i="40" s="1"/>
  <c r="B69" i="40" a="1"/>
  <c r="B69" i="40" s="1"/>
  <c r="C69" i="40" s="1"/>
  <c r="B68" i="40" a="1"/>
  <c r="B68" i="40" s="1"/>
  <c r="C68" i="40" s="1"/>
  <c r="B67" i="40" a="1"/>
  <c r="B67" i="40" s="1"/>
  <c r="C67" i="40" s="1"/>
  <c r="B66" i="40" a="1"/>
  <c r="B66" i="40" s="1"/>
  <c r="C66" i="40" s="1"/>
  <c r="E68" i="41" s="1"/>
  <c r="D56" i="42" s="1"/>
  <c r="B65" i="40" a="1"/>
  <c r="B65" i="40" s="1"/>
  <c r="C65" i="40" s="1"/>
  <c r="E67" i="41" s="1"/>
  <c r="D55" i="42" s="1"/>
  <c r="B64" i="40" a="1"/>
  <c r="B64" i="40" s="1"/>
  <c r="C64" i="40" s="1"/>
  <c r="E66" i="41" s="1"/>
  <c r="D54" i="42" s="1"/>
  <c r="B63" i="40" a="1"/>
  <c r="B63" i="40" s="1"/>
  <c r="C63" i="40" s="1"/>
  <c r="E65" i="41" s="1"/>
  <c r="D53" i="42" s="1"/>
  <c r="B62" i="40" a="1"/>
  <c r="B62" i="40" s="1"/>
  <c r="C62" i="40" s="1"/>
  <c r="E64" i="41" s="1"/>
  <c r="D52" i="42" s="1"/>
  <c r="B61" i="40" a="1"/>
  <c r="B61" i="40" s="1"/>
  <c r="C61" i="40" s="1"/>
  <c r="E63" i="41" s="1"/>
  <c r="D51" i="42" s="1"/>
  <c r="B60" i="40" a="1"/>
  <c r="B60" i="40" s="1"/>
  <c r="C60" i="40" s="1"/>
  <c r="E62" i="41" s="1"/>
  <c r="D50" i="42" s="1"/>
  <c r="B59" i="40" a="1"/>
  <c r="B59" i="40" s="1"/>
  <c r="C59" i="40" s="1"/>
  <c r="E61" i="41" s="1"/>
  <c r="D49" i="42" s="1"/>
  <c r="B58" i="40" a="1"/>
  <c r="B58" i="40" s="1"/>
  <c r="C58" i="40" s="1"/>
  <c r="E60" i="41" s="1"/>
  <c r="D48" i="42" s="1"/>
  <c r="B57" i="40" a="1"/>
  <c r="B57" i="40" s="1"/>
  <c r="C57" i="40" s="1"/>
  <c r="E59" i="41" s="1"/>
  <c r="D47" i="42" s="1"/>
  <c r="B56" i="40" a="1"/>
  <c r="B56" i="40" s="1"/>
  <c r="C56" i="40" s="1"/>
  <c r="E58" i="41" s="1"/>
  <c r="D46" i="42" s="1"/>
  <c r="B55" i="40" a="1"/>
  <c r="B55" i="40" s="1"/>
  <c r="C55" i="40" s="1"/>
  <c r="E57" i="41" s="1"/>
  <c r="D45" i="42" s="1"/>
  <c r="B54" i="40" a="1"/>
  <c r="B54" i="40" s="1"/>
  <c r="C54" i="40" s="1"/>
  <c r="E56" i="41" s="1"/>
  <c r="D44" i="42" s="1"/>
  <c r="B53" i="40" a="1"/>
  <c r="B53" i="40" s="1"/>
  <c r="C53" i="40" s="1"/>
  <c r="E55" i="41" s="1"/>
  <c r="D43" i="42" s="1"/>
  <c r="B52" i="40" a="1"/>
  <c r="B52" i="40" s="1"/>
  <c r="C52" i="40" s="1"/>
  <c r="E54" i="41" s="1"/>
  <c r="D42" i="42" s="1"/>
  <c r="B51" i="40" a="1"/>
  <c r="B51" i="40" s="1"/>
  <c r="C51" i="40" s="1"/>
  <c r="E53" i="41" s="1"/>
  <c r="D41" i="42" s="1"/>
  <c r="B50" i="40" a="1"/>
  <c r="B50" i="40" s="1"/>
  <c r="C50" i="40" s="1"/>
  <c r="E52" i="41" s="1"/>
  <c r="D40" i="42" s="1"/>
  <c r="B49" i="40" a="1"/>
  <c r="B49" i="40" s="1"/>
  <c r="C49" i="40" s="1"/>
  <c r="E51" i="41" s="1"/>
  <c r="D39" i="42" s="1"/>
  <c r="B48" i="40" a="1"/>
  <c r="B48" i="40" s="1"/>
  <c r="C48" i="40" s="1"/>
  <c r="E50" i="41" s="1"/>
  <c r="D38" i="42" s="1"/>
  <c r="B47" i="40" a="1"/>
  <c r="B47" i="40" s="1"/>
  <c r="C47" i="40" s="1"/>
  <c r="E49" i="41" s="1"/>
  <c r="D37" i="42" s="1"/>
  <c r="B46" i="40" a="1"/>
  <c r="B46" i="40" s="1"/>
  <c r="C46" i="40" s="1"/>
  <c r="E48" i="41" s="1"/>
  <c r="D36" i="42" s="1"/>
  <c r="B45" i="40" a="1"/>
  <c r="B45" i="40" s="1"/>
  <c r="C45" i="40" s="1"/>
  <c r="E47" i="41" s="1"/>
  <c r="D35" i="42" s="1"/>
  <c r="B44" i="40" a="1"/>
  <c r="B44" i="40" s="1"/>
  <c r="C44" i="40" s="1"/>
  <c r="E46" i="41" s="1"/>
  <c r="D34" i="42" s="1"/>
  <c r="B43" i="40" a="1"/>
  <c r="B43" i="40" s="1"/>
  <c r="C43" i="40" s="1"/>
  <c r="E45" i="41" s="1"/>
  <c r="D33" i="42" s="1"/>
  <c r="B42" i="40" a="1"/>
  <c r="B42" i="40" s="1"/>
  <c r="C42" i="40" s="1"/>
  <c r="E44" i="41" s="1"/>
  <c r="D32" i="42" s="1"/>
  <c r="B41" i="40" a="1"/>
  <c r="B41" i="40" s="1"/>
  <c r="C41" i="40" s="1"/>
  <c r="E43" i="41" s="1"/>
  <c r="D31" i="42" s="1"/>
  <c r="B40" i="40" a="1"/>
  <c r="B40" i="40" s="1"/>
  <c r="C40" i="40" s="1"/>
  <c r="E42" i="41" s="1"/>
  <c r="D30" i="42" s="1"/>
  <c r="B39" i="40" a="1"/>
  <c r="B39" i="40" s="1"/>
  <c r="C39" i="40" s="1"/>
  <c r="E41" i="41" s="1"/>
  <c r="D29" i="42" s="1"/>
  <c r="B38" i="40" a="1"/>
  <c r="B38" i="40" s="1"/>
  <c r="C38" i="40" s="1"/>
  <c r="E40" i="41" s="1"/>
  <c r="D28" i="42" s="1"/>
  <c r="B37" i="40" a="1"/>
  <c r="B37" i="40" s="1"/>
  <c r="C37" i="40" s="1"/>
  <c r="E39" i="41" s="1"/>
  <c r="D27" i="42" s="1"/>
  <c r="B36" i="40" a="1"/>
  <c r="B36" i="40" s="1"/>
  <c r="C36" i="40" s="1"/>
  <c r="E38" i="41" s="1"/>
  <c r="D26" i="42" s="1"/>
  <c r="B35" i="40" a="1"/>
  <c r="B35" i="40" s="1"/>
  <c r="C35" i="40" s="1"/>
  <c r="E37" i="41" s="1"/>
  <c r="D25" i="42" s="1"/>
  <c r="B34" i="40" a="1"/>
  <c r="B34" i="40" s="1"/>
  <c r="C34" i="40" s="1"/>
  <c r="E36" i="41" s="1"/>
  <c r="D24" i="42" s="1"/>
  <c r="B33" i="40" a="1"/>
  <c r="B33" i="40" s="1"/>
  <c r="C33" i="40" s="1"/>
  <c r="E35" i="41" s="1"/>
  <c r="D23" i="42" s="1"/>
  <c r="B32" i="40" a="1"/>
  <c r="B32" i="40" s="1"/>
  <c r="C32" i="40" s="1"/>
  <c r="E34" i="41" s="1"/>
  <c r="D22" i="42" s="1"/>
  <c r="B31" i="40" a="1"/>
  <c r="B31" i="40" s="1"/>
  <c r="C31" i="40" s="1"/>
  <c r="E33" i="41" s="1"/>
  <c r="D21" i="42" s="1"/>
  <c r="B30" i="40" a="1"/>
  <c r="B30" i="40" s="1"/>
  <c r="C30" i="40" s="1"/>
  <c r="E32" i="41" s="1"/>
  <c r="D20" i="42" s="1"/>
  <c r="C29" i="40"/>
  <c r="E31" i="41" s="1"/>
  <c r="D19" i="42" s="1"/>
  <c r="C27" i="40"/>
  <c r="E29" i="41" s="1"/>
  <c r="D17" i="42" s="1"/>
  <c r="C26" i="40"/>
  <c r="E28" i="41" s="1"/>
  <c r="D16" i="42" s="1"/>
  <c r="C25" i="40"/>
  <c r="E27" i="41" s="1"/>
  <c r="D15" i="42" s="1"/>
  <c r="C24" i="40"/>
  <c r="E26" i="41" s="1"/>
  <c r="D14" i="42" s="1"/>
  <c r="C23" i="40"/>
  <c r="E25" i="41" s="1"/>
  <c r="D13" i="42" s="1"/>
  <c r="C22" i="40"/>
  <c r="E24" i="41" s="1"/>
  <c r="D12" i="42" s="1"/>
  <c r="C20" i="40"/>
  <c r="E22" i="41" s="1"/>
  <c r="D10" i="42" s="1"/>
  <c r="C19" i="40"/>
  <c r="E21" i="41" s="1"/>
  <c r="D9" i="42" s="1"/>
  <c r="C18" i="40"/>
  <c r="E20" i="41" s="1"/>
  <c r="D8" i="42" s="1"/>
  <c r="C17" i="40"/>
  <c r="E19" i="41" s="1"/>
  <c r="D7" i="42" s="1"/>
  <c r="C16" i="40"/>
  <c r="E18" i="41" s="1"/>
  <c r="D6" i="42" s="1"/>
  <c r="C15" i="40"/>
  <c r="E17" i="41" s="1"/>
  <c r="D5" i="42" s="1"/>
  <c r="C14" i="40"/>
  <c r="E16" i="41" s="1"/>
  <c r="D4" i="42" s="1"/>
  <c r="B13" i="40" a="1"/>
  <c r="B13" i="40" s="1"/>
  <c r="C13" i="40" s="1"/>
  <c r="E15" i="41" s="1"/>
  <c r="D3" i="42" s="1"/>
  <c r="B12" i="40" a="1"/>
  <c r="B12" i="40" s="1"/>
  <c r="C12" i="40" s="1"/>
  <c r="E14" i="41" s="1"/>
  <c r="D2" i="42" s="1"/>
  <c r="C11" i="40"/>
  <c r="E13" i="41" s="1"/>
  <c r="D1" i="42" s="1"/>
  <c r="E3" i="42"/>
  <c r="E9" i="42"/>
  <c r="E25" i="42"/>
  <c r="E33" i="42"/>
  <c r="E41" i="42"/>
  <c r="E53" i="42"/>
  <c r="E57" i="42"/>
  <c r="E6" i="42"/>
  <c r="E10" i="42"/>
  <c r="E22" i="42"/>
  <c r="E26" i="42"/>
  <c r="E38" i="42"/>
  <c r="E42" i="42"/>
  <c r="E46" i="42"/>
  <c r="E54" i="42"/>
  <c r="E58" i="42"/>
  <c r="E7" i="42"/>
  <c r="E19" i="42"/>
  <c r="E23" i="42"/>
  <c r="E27" i="42"/>
  <c r="E35" i="42"/>
  <c r="E39" i="42"/>
  <c r="E43" i="42"/>
  <c r="E51" i="42"/>
  <c r="E55" i="42"/>
  <c r="E59" i="42"/>
  <c r="E8" i="42"/>
  <c r="E12" i="42"/>
  <c r="E16" i="42"/>
  <c r="E20" i="42"/>
  <c r="E24" i="42"/>
  <c r="E28" i="42"/>
  <c r="E44" i="42"/>
  <c r="E4" i="42"/>
  <c r="E73" i="42"/>
  <c r="A87" i="42"/>
  <c r="A71" i="42"/>
  <c r="A55" i="42"/>
  <c r="A39" i="42"/>
  <c r="A23" i="42"/>
  <c r="A7" i="42"/>
  <c r="A99" i="42"/>
  <c r="A83" i="42"/>
  <c r="A67" i="42"/>
  <c r="A51" i="42"/>
  <c r="A35" i="42"/>
  <c r="A19" i="42"/>
  <c r="A3" i="42"/>
  <c r="A1" i="42"/>
  <c r="A5" i="42"/>
  <c r="A9" i="42"/>
  <c r="A13" i="42"/>
  <c r="A17" i="42"/>
  <c r="A21" i="42"/>
  <c r="A25" i="42"/>
  <c r="A29" i="42"/>
  <c r="A33" i="42"/>
  <c r="A37" i="42"/>
  <c r="A95" i="42"/>
  <c r="A79" i="42"/>
  <c r="A63" i="42"/>
  <c r="A47" i="42"/>
  <c r="A31" i="42"/>
  <c r="A15" i="42"/>
  <c r="A98" i="42"/>
  <c r="A94" i="42"/>
  <c r="A90" i="42"/>
  <c r="A86" i="42"/>
  <c r="A82" i="42"/>
  <c r="A78" i="42"/>
  <c r="A74" i="42"/>
  <c r="A70" i="42"/>
  <c r="A66" i="42"/>
  <c r="A62" i="42"/>
  <c r="A58" i="42"/>
  <c r="A54" i="42"/>
  <c r="A50" i="42"/>
  <c r="A46" i="42"/>
  <c r="A42" i="42"/>
  <c r="A38" i="42"/>
  <c r="A34" i="42"/>
  <c r="A30" i="42"/>
  <c r="A26" i="42"/>
  <c r="A22" i="42"/>
  <c r="A18" i="42"/>
  <c r="A14" i="42"/>
  <c r="A10" i="42"/>
  <c r="A6" i="42"/>
  <c r="A2" i="42"/>
  <c r="A101" i="42"/>
  <c r="A97" i="42"/>
  <c r="A93" i="42"/>
  <c r="A89" i="42"/>
  <c r="A85" i="42"/>
  <c r="A81" i="42"/>
  <c r="A77" i="42"/>
  <c r="A73" i="42"/>
  <c r="A69" i="42"/>
  <c r="A65" i="42"/>
  <c r="A61" i="42"/>
  <c r="A57" i="42"/>
  <c r="A53" i="42"/>
  <c r="A49" i="42"/>
  <c r="A45" i="42"/>
  <c r="A41" i="42"/>
  <c r="A100" i="42"/>
  <c r="A96" i="42"/>
  <c r="A92" i="42"/>
  <c r="A88" i="42"/>
  <c r="A84" i="42"/>
  <c r="A80" i="42"/>
  <c r="A76" i="42"/>
  <c r="A72" i="42"/>
  <c r="A68" i="42"/>
  <c r="A64" i="42"/>
  <c r="A60" i="42"/>
  <c r="A56" i="42"/>
  <c r="A52" i="42"/>
  <c r="A48" i="42"/>
  <c r="A44" i="42"/>
  <c r="A40" i="42"/>
  <c r="A36" i="42"/>
  <c r="A32" i="42"/>
  <c r="A28" i="42"/>
  <c r="A24" i="42"/>
  <c r="A20" i="42"/>
  <c r="A16" i="42"/>
  <c r="A12" i="42"/>
  <c r="A8" i="42"/>
  <c r="A4" i="42"/>
  <c r="T3" i="33"/>
  <c r="T4" i="33"/>
  <c r="T7" i="33"/>
  <c r="T8" i="33"/>
  <c r="T9" i="33"/>
  <c r="T11" i="33"/>
  <c r="B12" i="33"/>
  <c r="T6" i="33"/>
  <c r="B11" i="33"/>
  <c r="T5" i="33" s="1"/>
  <c r="G178" i="17" a="1"/>
  <c r="G178" i="17" s="1"/>
  <c r="G179" i="17" a="1"/>
  <c r="G179" i="17" s="1"/>
  <c r="G180" i="17" a="1"/>
  <c r="G180" i="17" s="1"/>
  <c r="G181" i="17" a="1"/>
  <c r="G181" i="17" s="1"/>
  <c r="G182" i="17" a="1"/>
  <c r="G182" i="17" s="1"/>
  <c r="G183" i="17" a="1"/>
  <c r="G183" i="17" s="1"/>
  <c r="G184" i="17" a="1"/>
  <c r="G184" i="17" s="1"/>
  <c r="G185" i="17" a="1"/>
  <c r="G185" i="17" s="1"/>
  <c r="G186" i="17" a="1"/>
  <c r="G186" i="17" s="1"/>
  <c r="G187" i="17" a="1"/>
  <c r="G187" i="17" s="1"/>
  <c r="J187" i="17"/>
  <c r="R187" i="17" s="1"/>
  <c r="G188" i="17" a="1"/>
  <c r="G188" i="17" s="1"/>
  <c r="J188" i="17"/>
  <c r="R188" i="17" s="1"/>
  <c r="G189" i="17" a="1"/>
  <c r="G189" i="17" s="1"/>
  <c r="J189" i="17"/>
  <c r="R189" i="17" s="1"/>
  <c r="G190" i="17" a="1"/>
  <c r="G190" i="17" s="1"/>
  <c r="J190" i="17"/>
  <c r="R190" i="17" s="1"/>
  <c r="G191" i="17" a="1"/>
  <c r="G191" i="17" s="1"/>
  <c r="J191" i="17"/>
  <c r="R191" i="17" s="1"/>
  <c r="G192" i="17" a="1"/>
  <c r="G192" i="17" s="1"/>
  <c r="J192" i="17"/>
  <c r="R192" i="17" s="1"/>
  <c r="G193" i="17" a="1"/>
  <c r="G193" i="17" s="1"/>
  <c r="J193" i="17"/>
  <c r="R193" i="17" s="1"/>
  <c r="G194" i="17" a="1"/>
  <c r="G194" i="17" s="1"/>
  <c r="J194" i="17"/>
  <c r="R194" i="17" s="1"/>
  <c r="G195" i="17" a="1"/>
  <c r="G195" i="17" s="1"/>
  <c r="J195" i="17"/>
  <c r="R195" i="17" s="1"/>
  <c r="G196" i="17" a="1"/>
  <c r="G196" i="17" s="1"/>
  <c r="J196" i="17"/>
  <c r="R196" i="17" s="1"/>
  <c r="G197" i="17" a="1"/>
  <c r="G197" i="17" s="1"/>
  <c r="J197" i="17"/>
  <c r="R197" i="17" s="1"/>
  <c r="G198" i="17" a="1"/>
  <c r="G198" i="17" s="1"/>
  <c r="J198" i="17"/>
  <c r="R198" i="17" s="1"/>
  <c r="G199" i="17" a="1"/>
  <c r="G199" i="17" s="1"/>
  <c r="J199" i="17"/>
  <c r="R199" i="17" s="1"/>
  <c r="G200" i="17" a="1"/>
  <c r="G200" i="17" s="1"/>
  <c r="J200" i="17"/>
  <c r="R200" i="17" s="1"/>
  <c r="G201" i="17" a="1"/>
  <c r="G201" i="17" s="1"/>
  <c r="J201" i="17"/>
  <c r="R201" i="17" s="1"/>
  <c r="G202" i="17" a="1"/>
  <c r="G202" i="17" s="1"/>
  <c r="J202" i="17"/>
  <c r="R202" i="17" s="1"/>
  <c r="G203" i="17" a="1"/>
  <c r="G203" i="17" s="1"/>
  <c r="J203" i="17"/>
  <c r="R203" i="17" s="1"/>
  <c r="G204" i="17" a="1"/>
  <c r="G204" i="17" s="1"/>
  <c r="J204" i="17"/>
  <c r="R204" i="17" s="1"/>
  <c r="G205" i="17" a="1"/>
  <c r="G205" i="17" s="1"/>
  <c r="J205" i="17"/>
  <c r="R205" i="17" s="1"/>
  <c r="G206" i="17" a="1"/>
  <c r="G206" i="17" s="1"/>
  <c r="J206" i="17"/>
  <c r="R206" i="17" s="1"/>
  <c r="G207" i="17" a="1"/>
  <c r="G207" i="17" s="1"/>
  <c r="J207" i="17"/>
  <c r="R207" i="17" s="1"/>
  <c r="G208" i="17" a="1"/>
  <c r="G208" i="17" s="1"/>
  <c r="J208" i="17"/>
  <c r="R208" i="17" s="1"/>
  <c r="G209" i="17" a="1"/>
  <c r="G209" i="17" s="1"/>
  <c r="J209" i="17"/>
  <c r="R209" i="17" s="1"/>
  <c r="G210" i="17" a="1"/>
  <c r="G210" i="17" s="1"/>
  <c r="J210" i="17"/>
  <c r="R210" i="17" s="1"/>
  <c r="G211" i="17" a="1"/>
  <c r="G211" i="17" s="1"/>
  <c r="J211" i="17"/>
  <c r="R211" i="17" s="1"/>
  <c r="G212" i="17" a="1"/>
  <c r="G212" i="17" s="1"/>
  <c r="J212" i="17"/>
  <c r="R212" i="17" s="1"/>
  <c r="G213" i="17" a="1"/>
  <c r="G213" i="17" s="1"/>
  <c r="J213" i="17"/>
  <c r="R213" i="17" s="1"/>
  <c r="G214" i="17" a="1"/>
  <c r="G214" i="17" s="1"/>
  <c r="J214" i="17"/>
  <c r="R214" i="17" s="1"/>
  <c r="G215" i="17" a="1"/>
  <c r="G215" i="17" s="1"/>
  <c r="J215" i="17"/>
  <c r="R215" i="17" s="1"/>
  <c r="G216" i="17" a="1"/>
  <c r="G216" i="17" s="1"/>
  <c r="J216" i="17"/>
  <c r="R216" i="17" s="1"/>
  <c r="G217" i="17" a="1"/>
  <c r="G217" i="17" s="1"/>
  <c r="J217" i="17"/>
  <c r="R217" i="17" s="1"/>
  <c r="G218" i="17" a="1"/>
  <c r="G218" i="17" s="1"/>
  <c r="J218" i="17"/>
  <c r="R218" i="17" s="1"/>
  <c r="G219" i="17" a="1"/>
  <c r="G219" i="17" s="1"/>
  <c r="J219" i="17"/>
  <c r="R219" i="17" s="1"/>
  <c r="G220" i="17" a="1"/>
  <c r="G220" i="17" s="1"/>
  <c r="J220" i="17"/>
  <c r="R220" i="17" s="1"/>
  <c r="G221" i="17" a="1"/>
  <c r="G221" i="17" s="1"/>
  <c r="J221" i="17"/>
  <c r="R221" i="17" s="1"/>
  <c r="G222" i="17" a="1"/>
  <c r="G222" i="17" s="1"/>
  <c r="J222" i="17"/>
  <c r="R222" i="17" s="1"/>
  <c r="G223" i="17" a="1"/>
  <c r="G223" i="17" s="1"/>
  <c r="J223" i="17"/>
  <c r="R223" i="17" s="1"/>
  <c r="G224" i="17" a="1"/>
  <c r="G224" i="17" s="1"/>
  <c r="J224" i="17"/>
  <c r="R224" i="17" s="1"/>
  <c r="G225" i="17" a="1"/>
  <c r="G225" i="17" s="1"/>
  <c r="J225" i="17"/>
  <c r="R225" i="17" s="1"/>
  <c r="G226" i="17" a="1"/>
  <c r="G226" i="17" s="1"/>
  <c r="J226" i="17"/>
  <c r="R226" i="17" s="1"/>
  <c r="G145" i="17" a="1"/>
  <c r="G145" i="17" s="1"/>
  <c r="G146" i="17" a="1"/>
  <c r="G146" i="17" s="1"/>
  <c r="G147" i="17" a="1"/>
  <c r="G147" i="17" s="1"/>
  <c r="G148" i="17" a="1"/>
  <c r="G148" i="17" s="1"/>
  <c r="G149" i="17" a="1"/>
  <c r="G149" i="17" s="1"/>
  <c r="G150" i="17" a="1"/>
  <c r="G150" i="17" s="1"/>
  <c r="G151" i="17" a="1"/>
  <c r="G151" i="17" s="1"/>
  <c r="G152" i="17" a="1"/>
  <c r="G152" i="17" s="1"/>
  <c r="G153" i="17" a="1"/>
  <c r="G153" i="17" s="1"/>
  <c r="G154" i="17" a="1"/>
  <c r="G154" i="17" s="1"/>
  <c r="G155" i="17" a="1"/>
  <c r="G155" i="17" s="1"/>
  <c r="J155" i="17"/>
  <c r="R155" i="17" s="1"/>
  <c r="G156" i="17" a="1"/>
  <c r="G156" i="17" s="1"/>
  <c r="J156" i="17"/>
  <c r="R156" i="17" s="1"/>
  <c r="G157" i="17" a="1"/>
  <c r="G157" i="17" s="1"/>
  <c r="J157" i="17"/>
  <c r="R157" i="17" s="1"/>
  <c r="G158" i="17" a="1"/>
  <c r="G158" i="17" s="1"/>
  <c r="J158" i="17"/>
  <c r="R158" i="17" s="1"/>
  <c r="G159" i="17" a="1"/>
  <c r="G159" i="17" s="1"/>
  <c r="J159" i="17"/>
  <c r="R159" i="17" s="1"/>
  <c r="G160" i="17" a="1"/>
  <c r="G160" i="17" s="1"/>
  <c r="J160" i="17"/>
  <c r="R160" i="17" s="1"/>
  <c r="G161" i="17" a="1"/>
  <c r="G161" i="17" s="1"/>
  <c r="J161" i="17"/>
  <c r="R161" i="17" s="1"/>
  <c r="G162" i="17" a="1"/>
  <c r="G162" i="17" s="1"/>
  <c r="J162" i="17"/>
  <c r="R162" i="17" s="1"/>
  <c r="G163" i="17" a="1"/>
  <c r="G163" i="17" s="1"/>
  <c r="J163" i="17"/>
  <c r="R163" i="17" s="1"/>
  <c r="G164" i="17" a="1"/>
  <c r="G164" i="17" s="1"/>
  <c r="J164" i="17"/>
  <c r="R164" i="17" s="1"/>
  <c r="G165" i="17" a="1"/>
  <c r="G165" i="17" s="1"/>
  <c r="J165" i="17"/>
  <c r="R165" i="17" s="1"/>
  <c r="G166" i="17" a="1"/>
  <c r="G166" i="17" s="1"/>
  <c r="J166" i="17"/>
  <c r="R166" i="17" s="1"/>
  <c r="G167" i="17" a="1"/>
  <c r="G167" i="17" s="1"/>
  <c r="J167" i="17"/>
  <c r="R167" i="17" s="1"/>
  <c r="G168" i="17" a="1"/>
  <c r="G168" i="17" s="1"/>
  <c r="J168" i="17"/>
  <c r="R168" i="17" s="1"/>
  <c r="G169" i="17" a="1"/>
  <c r="G169" i="17" s="1"/>
  <c r="J169" i="17"/>
  <c r="R169" i="17" s="1"/>
  <c r="G170" i="17" a="1"/>
  <c r="G170" i="17" s="1"/>
  <c r="J170" i="17"/>
  <c r="R170" i="17" s="1"/>
  <c r="G171" i="17" a="1"/>
  <c r="G171" i="17" s="1"/>
  <c r="J171" i="17"/>
  <c r="R171" i="17" s="1"/>
  <c r="G172" i="17" a="1"/>
  <c r="G172" i="17" s="1"/>
  <c r="J172" i="17"/>
  <c r="R172" i="17" s="1"/>
  <c r="G113" i="17" a="1"/>
  <c r="G113" i="17" s="1"/>
  <c r="G114" i="17" a="1"/>
  <c r="G114" i="17" s="1"/>
  <c r="G115" i="17" a="1"/>
  <c r="G115" i="17" s="1"/>
  <c r="G116" i="17" a="1"/>
  <c r="G116" i="17" s="1"/>
  <c r="G117" i="17" a="1"/>
  <c r="G117" i="17" s="1"/>
  <c r="G118" i="17" a="1"/>
  <c r="G118" i="17" s="1"/>
  <c r="G119" i="17" a="1"/>
  <c r="G119" i="17" s="1"/>
  <c r="G120" i="17" a="1"/>
  <c r="G120" i="17" s="1"/>
  <c r="G121" i="17" a="1"/>
  <c r="G121" i="17" s="1"/>
  <c r="G122" i="17" a="1"/>
  <c r="G122" i="17" s="1"/>
  <c r="G123" i="17" a="1"/>
  <c r="G123" i="17" s="1"/>
  <c r="J123" i="17"/>
  <c r="R123" i="17" s="1"/>
  <c r="G124" i="17" a="1"/>
  <c r="G124" i="17" s="1"/>
  <c r="J124" i="17"/>
  <c r="R124" i="17" s="1"/>
  <c r="G125" i="17" a="1"/>
  <c r="G125" i="17" s="1"/>
  <c r="J125" i="17"/>
  <c r="R125" i="17" s="1"/>
  <c r="G126" i="17" a="1"/>
  <c r="G126" i="17" s="1"/>
  <c r="J126" i="17"/>
  <c r="R126" i="17" s="1"/>
  <c r="G127" i="17" a="1"/>
  <c r="G127" i="17" s="1"/>
  <c r="J127" i="17"/>
  <c r="R127" i="17" s="1"/>
  <c r="G128" i="17" a="1"/>
  <c r="G128" i="17" s="1"/>
  <c r="J128" i="17"/>
  <c r="R128" i="17" s="1"/>
  <c r="G129" i="17" a="1"/>
  <c r="G129" i="17" s="1"/>
  <c r="J129" i="17"/>
  <c r="R129" i="17" s="1"/>
  <c r="G130" i="17" a="1"/>
  <c r="G130" i="17" s="1"/>
  <c r="J130" i="17"/>
  <c r="R130" i="17" s="1"/>
  <c r="G131" i="17" a="1"/>
  <c r="G131" i="17" s="1"/>
  <c r="J131" i="17"/>
  <c r="R131" i="17" s="1"/>
  <c r="G132" i="17" a="1"/>
  <c r="G132" i="17" s="1"/>
  <c r="J132" i="17"/>
  <c r="R132" i="17" s="1"/>
  <c r="G133" i="17" a="1"/>
  <c r="G133" i="17" s="1"/>
  <c r="J133" i="17"/>
  <c r="R133" i="17" s="1"/>
  <c r="G134" i="17" a="1"/>
  <c r="G134" i="17" s="1"/>
  <c r="J134" i="17"/>
  <c r="R134" i="17" s="1"/>
  <c r="G135" i="17" a="1"/>
  <c r="G135" i="17" s="1"/>
  <c r="J135" i="17"/>
  <c r="R135" i="17" s="1"/>
  <c r="G136" i="17" a="1"/>
  <c r="G136" i="17" s="1"/>
  <c r="J136" i="17"/>
  <c r="R136" i="17" s="1"/>
  <c r="G137" i="17" a="1"/>
  <c r="G137" i="17" s="1"/>
  <c r="J137" i="17"/>
  <c r="R137" i="17" s="1"/>
  <c r="G138" i="17" a="1"/>
  <c r="G138" i="17" s="1"/>
  <c r="J138" i="17"/>
  <c r="R138" i="17" s="1"/>
  <c r="G139" i="17" a="1"/>
  <c r="G139" i="17" s="1"/>
  <c r="J139" i="17"/>
  <c r="R139" i="17" s="1"/>
  <c r="G140" i="17" a="1"/>
  <c r="G140" i="17" s="1"/>
  <c r="J140" i="17"/>
  <c r="R140" i="17" s="1"/>
  <c r="G141" i="17" a="1"/>
  <c r="G141" i="17" s="1"/>
  <c r="J141" i="17"/>
  <c r="R141" i="17" s="1"/>
  <c r="G81" i="17" a="1"/>
  <c r="G81" i="17" s="1"/>
  <c r="G82" i="17" a="1"/>
  <c r="G82" i="17" s="1"/>
  <c r="G83" i="17" a="1"/>
  <c r="G83" i="17" s="1"/>
  <c r="G84" i="17" a="1"/>
  <c r="G84" i="17" s="1"/>
  <c r="G85" i="17" a="1"/>
  <c r="G85" i="17" s="1"/>
  <c r="G86" i="17" a="1"/>
  <c r="G86" i="17" s="1"/>
  <c r="G87" i="17" a="1"/>
  <c r="G87" i="17" s="1"/>
  <c r="G88" i="17" a="1"/>
  <c r="G88" i="17" s="1"/>
  <c r="G89" i="17" a="1"/>
  <c r="G89" i="17" s="1"/>
  <c r="G90" i="17" a="1"/>
  <c r="G90" i="17" s="1"/>
  <c r="G91" i="17" a="1"/>
  <c r="G91" i="17" s="1"/>
  <c r="J91" i="17"/>
  <c r="R91" i="17" s="1"/>
  <c r="G92" i="17" a="1"/>
  <c r="G92" i="17" s="1"/>
  <c r="J92" i="17"/>
  <c r="R92" i="17" s="1"/>
  <c r="G93" i="17" a="1"/>
  <c r="G93" i="17" s="1"/>
  <c r="J93" i="17"/>
  <c r="R93" i="17" s="1"/>
  <c r="G94" i="17" a="1"/>
  <c r="G94" i="17" s="1"/>
  <c r="J94" i="17"/>
  <c r="R94" i="17" s="1"/>
  <c r="G95" i="17" a="1"/>
  <c r="G95" i="17" s="1"/>
  <c r="J95" i="17"/>
  <c r="R95" i="17" s="1"/>
  <c r="G96" i="17" a="1"/>
  <c r="G96" i="17" s="1"/>
  <c r="J96" i="17"/>
  <c r="R96" i="17" s="1"/>
  <c r="G97" i="17" a="1"/>
  <c r="G97" i="17" s="1"/>
  <c r="J97" i="17"/>
  <c r="R97" i="17" s="1"/>
  <c r="G98" i="17" a="1"/>
  <c r="G98" i="17" s="1"/>
  <c r="J98" i="17"/>
  <c r="R98" i="17" s="1"/>
  <c r="G99" i="17" a="1"/>
  <c r="G99" i="17" s="1"/>
  <c r="J99" i="17"/>
  <c r="R99" i="17" s="1"/>
  <c r="G100" i="17" a="1"/>
  <c r="G100" i="17" s="1"/>
  <c r="J100" i="17"/>
  <c r="R100" i="17" s="1"/>
  <c r="G101" i="17" a="1"/>
  <c r="G101" i="17" s="1"/>
  <c r="J101" i="17"/>
  <c r="R101" i="17" s="1"/>
  <c r="G102" i="17" a="1"/>
  <c r="G102" i="17" s="1"/>
  <c r="J102" i="17"/>
  <c r="R102" i="17" s="1"/>
  <c r="G103" i="17" a="1"/>
  <c r="G103" i="17" s="1"/>
  <c r="J103" i="17"/>
  <c r="R103" i="17" s="1"/>
  <c r="G104" i="17" a="1"/>
  <c r="G104" i="17" s="1"/>
  <c r="J104" i="17"/>
  <c r="R104" i="17" s="1"/>
  <c r="G105" i="17" a="1"/>
  <c r="G105" i="17" s="1"/>
  <c r="J105" i="17"/>
  <c r="R105" i="17" s="1"/>
  <c r="G106" i="17" a="1"/>
  <c r="G106" i="17" s="1"/>
  <c r="J106" i="17"/>
  <c r="R106" i="17" s="1"/>
  <c r="G107" i="17" a="1"/>
  <c r="G107" i="17" s="1"/>
  <c r="J107" i="17"/>
  <c r="R107" i="17" s="1"/>
  <c r="G108" i="17" a="1"/>
  <c r="G108" i="17" s="1"/>
  <c r="J108" i="17"/>
  <c r="R108" i="17" s="1"/>
  <c r="C43" i="17"/>
  <c r="J43" i="17"/>
  <c r="R43" i="17" s="1"/>
  <c r="O43" i="17"/>
  <c r="C44" i="17"/>
  <c r="J44" i="17"/>
  <c r="R44" i="17" s="1"/>
  <c r="O44" i="17"/>
  <c r="C17" i="17"/>
  <c r="O17" i="17"/>
  <c r="C18" i="17"/>
  <c r="O18" i="17"/>
  <c r="C19" i="17"/>
  <c r="O19" i="17"/>
  <c r="C20" i="17"/>
  <c r="O20" i="17"/>
  <c r="C21" i="17"/>
  <c r="O21" i="17"/>
  <c r="C22" i="17"/>
  <c r="O22" i="17"/>
  <c r="C23" i="17"/>
  <c r="O23" i="17"/>
  <c r="C24" i="17"/>
  <c r="O24" i="17"/>
  <c r="C25" i="17"/>
  <c r="O25" i="17"/>
  <c r="C26" i="17"/>
  <c r="J26" i="17"/>
  <c r="R26" i="17" s="1"/>
  <c r="O26" i="17"/>
  <c r="C27" i="17"/>
  <c r="J27" i="17"/>
  <c r="R27" i="17" s="1"/>
  <c r="O27" i="17"/>
  <c r="C28" i="17"/>
  <c r="J28" i="17"/>
  <c r="R28" i="17" s="1"/>
  <c r="O28" i="17"/>
  <c r="C29" i="17"/>
  <c r="J29" i="17"/>
  <c r="R29" i="17" s="1"/>
  <c r="O29" i="17"/>
  <c r="C30" i="17"/>
  <c r="J30" i="17"/>
  <c r="R30" i="17" s="1"/>
  <c r="O30" i="17"/>
  <c r="C31" i="17"/>
  <c r="J31" i="17"/>
  <c r="R31" i="17" s="1"/>
  <c r="O31" i="17"/>
  <c r="C32" i="17"/>
  <c r="J32" i="17"/>
  <c r="R32" i="17" s="1"/>
  <c r="O32" i="17"/>
  <c r="C33" i="17"/>
  <c r="J33" i="17"/>
  <c r="R33" i="17" s="1"/>
  <c r="O33" i="17"/>
  <c r="C34" i="17"/>
  <c r="J34" i="17"/>
  <c r="R34" i="17" s="1"/>
  <c r="O34" i="17"/>
  <c r="C35" i="17"/>
  <c r="J35" i="17"/>
  <c r="R35" i="17" s="1"/>
  <c r="O35" i="17"/>
  <c r="C36" i="17"/>
  <c r="J36" i="17"/>
  <c r="R36" i="17" s="1"/>
  <c r="O36" i="17"/>
  <c r="C37" i="17"/>
  <c r="J37" i="17"/>
  <c r="R37" i="17" s="1"/>
  <c r="O37" i="17"/>
  <c r="C38" i="17"/>
  <c r="J38" i="17"/>
  <c r="R38" i="17" s="1"/>
  <c r="O38" i="17"/>
  <c r="A162" i="39"/>
  <c r="E162" i="39" s="1"/>
  <c r="A163" i="39"/>
  <c r="F163" i="39" s="1"/>
  <c r="A164" i="39"/>
  <c r="A165" i="39"/>
  <c r="E165" i="39" s="1"/>
  <c r="A166" i="39"/>
  <c r="A167" i="39"/>
  <c r="F167" i="39" s="1"/>
  <c r="A168" i="39"/>
  <c r="D168" i="39" s="1"/>
  <c r="A169" i="39"/>
  <c r="E169" i="39" s="1"/>
  <c r="A170" i="39"/>
  <c r="C170" i="39" s="1"/>
  <c r="A171" i="39"/>
  <c r="C171" i="39" s="1"/>
  <c r="A172" i="39"/>
  <c r="F172" i="39" s="1"/>
  <c r="A173" i="39"/>
  <c r="C173" i="39" s="1"/>
  <c r="A174" i="39"/>
  <c r="E174" i="39" s="1"/>
  <c r="A175" i="39"/>
  <c r="C175" i="39" s="1"/>
  <c r="A176" i="39"/>
  <c r="F176" i="39" s="1"/>
  <c r="A177" i="39"/>
  <c r="C177" i="39" s="1"/>
  <c r="A178" i="39"/>
  <c r="C178" i="39" s="1"/>
  <c r="A179" i="39"/>
  <c r="C179" i="39" s="1"/>
  <c r="A180" i="39"/>
  <c r="C180" i="39" s="1"/>
  <c r="A181" i="39"/>
  <c r="C181" i="39" s="1"/>
  <c r="A182" i="39"/>
  <c r="D182" i="39" s="1"/>
  <c r="A183" i="39"/>
  <c r="C183" i="39" s="1"/>
  <c r="A184" i="39"/>
  <c r="C184" i="39" s="1"/>
  <c r="A185" i="39"/>
  <c r="C185" i="39" s="1"/>
  <c r="A186" i="39"/>
  <c r="C186" i="39" s="1"/>
  <c r="A187" i="39"/>
  <c r="C187" i="39" s="1"/>
  <c r="A188" i="39"/>
  <c r="C188" i="39" s="1"/>
  <c r="A189" i="39"/>
  <c r="C189" i="39" s="1"/>
  <c r="A190" i="39"/>
  <c r="C190" i="39" s="1"/>
  <c r="A191" i="39"/>
  <c r="C191" i="39" s="1"/>
  <c r="A192" i="39"/>
  <c r="C192" i="39" s="1"/>
  <c r="A193" i="39"/>
  <c r="D193" i="39" s="1"/>
  <c r="A161" i="39"/>
  <c r="C161" i="39" s="1"/>
  <c r="A125" i="39"/>
  <c r="H125" i="39" s="1"/>
  <c r="A126" i="39"/>
  <c r="A127" i="39"/>
  <c r="H127" i="39" s="1"/>
  <c r="A128" i="39"/>
  <c r="H128" i="39" s="1"/>
  <c r="A129" i="39"/>
  <c r="H129" i="39" s="1"/>
  <c r="A130" i="39"/>
  <c r="H130" i="39" s="1"/>
  <c r="A131" i="39"/>
  <c r="H131" i="39" s="1"/>
  <c r="A132" i="39"/>
  <c r="H132" i="39" s="1"/>
  <c r="A133" i="39"/>
  <c r="H133" i="39" s="1"/>
  <c r="A134" i="39"/>
  <c r="H134" i="39" s="1"/>
  <c r="A135" i="39"/>
  <c r="H135" i="39" s="1"/>
  <c r="A136" i="39"/>
  <c r="H136" i="39" s="1"/>
  <c r="A137" i="39"/>
  <c r="H137" i="39" s="1"/>
  <c r="A138" i="39"/>
  <c r="H138" i="39" s="1"/>
  <c r="A139" i="39"/>
  <c r="H139" i="39" s="1"/>
  <c r="A140" i="39"/>
  <c r="H140" i="39" s="1"/>
  <c r="A141" i="39"/>
  <c r="H141" i="39" s="1"/>
  <c r="A142" i="39"/>
  <c r="H142" i="39" s="1"/>
  <c r="A143" i="39"/>
  <c r="H143" i="39" s="1"/>
  <c r="A144" i="39"/>
  <c r="H144" i="39" s="1"/>
  <c r="A145" i="39"/>
  <c r="H145" i="39" s="1"/>
  <c r="A146" i="39"/>
  <c r="H146" i="39" s="1"/>
  <c r="A147" i="39"/>
  <c r="H147" i="39" s="1"/>
  <c r="A148" i="39"/>
  <c r="H148" i="39" s="1"/>
  <c r="A149" i="39"/>
  <c r="H149" i="39" s="1"/>
  <c r="A150" i="39"/>
  <c r="H150" i="39" s="1"/>
  <c r="A151" i="39"/>
  <c r="H151" i="39" s="1"/>
  <c r="A152" i="39"/>
  <c r="H152" i="39" s="1"/>
  <c r="A153" i="39"/>
  <c r="H153" i="39" s="1"/>
  <c r="A154" i="39"/>
  <c r="H154" i="39" s="1"/>
  <c r="A155" i="39"/>
  <c r="H155" i="39" s="1"/>
  <c r="A124" i="39"/>
  <c r="H124" i="39" s="1"/>
  <c r="A123" i="39"/>
  <c r="H123" i="39" s="1"/>
  <c r="A57" i="39"/>
  <c r="G57" i="39" s="1"/>
  <c r="A58" i="39"/>
  <c r="A59" i="39"/>
  <c r="G59" i="39" s="1"/>
  <c r="A60" i="39"/>
  <c r="G60" i="39" s="1"/>
  <c r="A61" i="39"/>
  <c r="M61" i="39" s="1"/>
  <c r="A62" i="39"/>
  <c r="G62" i="39" s="1"/>
  <c r="A63" i="39"/>
  <c r="A64" i="39"/>
  <c r="E64" i="39" s="1"/>
  <c r="A65" i="39"/>
  <c r="B65" i="39" s="1"/>
  <c r="A66" i="39"/>
  <c r="H66" i="39" s="1"/>
  <c r="A67" i="39"/>
  <c r="K67" i="39" s="1"/>
  <c r="A68" i="39"/>
  <c r="G68" i="39" s="1"/>
  <c r="A69" i="39"/>
  <c r="K69" i="39" s="1"/>
  <c r="A70" i="39"/>
  <c r="N70" i="39" s="1"/>
  <c r="A71" i="39"/>
  <c r="N71" i="39" s="1"/>
  <c r="A72" i="39"/>
  <c r="G72" i="39" s="1"/>
  <c r="A73" i="39"/>
  <c r="F73" i="39" s="1"/>
  <c r="A74" i="39"/>
  <c r="F74" i="39" s="1"/>
  <c r="A75" i="39"/>
  <c r="G75" i="39" s="1"/>
  <c r="A76" i="39"/>
  <c r="F76" i="39" s="1"/>
  <c r="A77" i="39"/>
  <c r="G77" i="39" s="1"/>
  <c r="A78" i="39"/>
  <c r="A79" i="39"/>
  <c r="N79" i="39" s="1"/>
  <c r="A88" i="39"/>
  <c r="A86" i="39"/>
  <c r="H86" i="39" s="1"/>
  <c r="A87" i="39"/>
  <c r="H87" i="39" s="1"/>
  <c r="A89" i="39"/>
  <c r="H89" i="39" s="1"/>
  <c r="A90" i="39"/>
  <c r="H90" i="39" s="1"/>
  <c r="A91" i="39"/>
  <c r="H91" i="39" s="1"/>
  <c r="A92" i="39"/>
  <c r="H92" i="39" s="1"/>
  <c r="A93" i="39"/>
  <c r="H93" i="39" s="1"/>
  <c r="A94" i="39"/>
  <c r="H94" i="39" s="1"/>
  <c r="A95" i="39"/>
  <c r="H95" i="39" s="1"/>
  <c r="A96" i="39"/>
  <c r="H96" i="39" s="1"/>
  <c r="A97" i="39"/>
  <c r="H97" i="39" s="1"/>
  <c r="A98" i="39"/>
  <c r="H98" i="39" s="1"/>
  <c r="A99" i="39"/>
  <c r="H99" i="39" s="1"/>
  <c r="A100" i="39"/>
  <c r="H100" i="39" s="1"/>
  <c r="A101" i="39"/>
  <c r="H101" i="39" s="1"/>
  <c r="A102" i="39"/>
  <c r="H102" i="39" s="1"/>
  <c r="A103" i="39"/>
  <c r="H103" i="39" s="1"/>
  <c r="A104" i="39"/>
  <c r="H104" i="39" s="1"/>
  <c r="A105" i="39"/>
  <c r="H105" i="39" s="1"/>
  <c r="A106" i="39"/>
  <c r="H106" i="39" s="1"/>
  <c r="A107" i="39"/>
  <c r="H107" i="39" s="1"/>
  <c r="A108" i="39"/>
  <c r="H108" i="39" s="1"/>
  <c r="A109" i="39"/>
  <c r="H109" i="39" s="1"/>
  <c r="A110" i="39"/>
  <c r="H110" i="39" s="1"/>
  <c r="A111" i="39"/>
  <c r="H111" i="39" s="1"/>
  <c r="A112" i="39"/>
  <c r="H112" i="39" s="1"/>
  <c r="A113" i="39"/>
  <c r="H113" i="39" s="1"/>
  <c r="A114" i="39"/>
  <c r="H114" i="39" s="1"/>
  <c r="A115" i="39"/>
  <c r="H115" i="39" s="1"/>
  <c r="A116" i="39"/>
  <c r="H116" i="39" s="1"/>
  <c r="A117" i="39"/>
  <c r="H117" i="39" s="1"/>
  <c r="A85" i="39"/>
  <c r="H85" i="39" s="1"/>
  <c r="A48" i="39"/>
  <c r="A49" i="39"/>
  <c r="A50" i="39"/>
  <c r="G50" i="39" s="1"/>
  <c r="A51" i="39"/>
  <c r="G51" i="39" s="1"/>
  <c r="A52" i="39"/>
  <c r="G52" i="39" s="1"/>
  <c r="A53" i="39"/>
  <c r="G53" i="39" s="1"/>
  <c r="A54" i="39"/>
  <c r="A55" i="39"/>
  <c r="G55" i="39" s="1"/>
  <c r="A56" i="39"/>
  <c r="H56" i="39" s="1"/>
  <c r="A47" i="39"/>
  <c r="A11" i="39"/>
  <c r="B11" i="39" s="1"/>
  <c r="A12" i="39"/>
  <c r="N12" i="39" s="1"/>
  <c r="A13" i="39"/>
  <c r="A14" i="39"/>
  <c r="I14" i="39" s="1"/>
  <c r="A15" i="39"/>
  <c r="A16" i="39"/>
  <c r="A17" i="39"/>
  <c r="A18" i="39"/>
  <c r="B18" i="39" s="1"/>
  <c r="A19" i="39"/>
  <c r="A20" i="39"/>
  <c r="A21" i="39"/>
  <c r="A22" i="39"/>
  <c r="G22" i="39" s="1"/>
  <c r="A23" i="39"/>
  <c r="G23" i="39" s="1"/>
  <c r="A24" i="39"/>
  <c r="G24" i="39" s="1"/>
  <c r="A25" i="39"/>
  <c r="A26" i="39"/>
  <c r="G26" i="39" s="1"/>
  <c r="A27" i="39"/>
  <c r="O27" i="39" s="1"/>
  <c r="A28" i="39"/>
  <c r="F28" i="39" s="1"/>
  <c r="A29" i="39"/>
  <c r="C29" i="39" s="1"/>
  <c r="A30" i="39"/>
  <c r="I30" i="39" s="1"/>
  <c r="A31" i="39"/>
  <c r="C31" i="39" s="1"/>
  <c r="A32" i="39"/>
  <c r="C32" i="39" s="1"/>
  <c r="A33" i="39"/>
  <c r="H33" i="39" s="1"/>
  <c r="A34" i="39"/>
  <c r="K34" i="39" s="1"/>
  <c r="A35" i="39"/>
  <c r="N35" i="39" s="1"/>
  <c r="A36" i="39"/>
  <c r="A37" i="39"/>
  <c r="H37" i="39" s="1"/>
  <c r="A38" i="39"/>
  <c r="O38" i="39" s="1"/>
  <c r="A39" i="39"/>
  <c r="O39" i="39" s="1"/>
  <c r="A40" i="39"/>
  <c r="O40" i="39" s="1"/>
  <c r="A41" i="39"/>
  <c r="O41" i="39" s="1"/>
  <c r="A10" i="39"/>
  <c r="L10" i="39" s="1"/>
  <c r="E95" i="42"/>
  <c r="E79" i="42"/>
  <c r="E63" i="42"/>
  <c r="E86" i="42"/>
  <c r="E70" i="42"/>
  <c r="E93" i="42"/>
  <c r="E77" i="42"/>
  <c r="E61" i="42"/>
  <c r="E88" i="42"/>
  <c r="E72" i="42"/>
  <c r="E32" i="42"/>
  <c r="E30" i="42"/>
  <c r="E18" i="42"/>
  <c r="E91" i="42"/>
  <c r="E75" i="42"/>
  <c r="E98" i="42"/>
  <c r="E82" i="42"/>
  <c r="E89" i="42"/>
  <c r="E84" i="42"/>
  <c r="E60" i="42"/>
  <c r="E87" i="42"/>
  <c r="E71" i="42"/>
  <c r="E94" i="42"/>
  <c r="E78" i="42"/>
  <c r="E62" i="42"/>
  <c r="E85" i="42"/>
  <c r="E40" i="42"/>
  <c r="E2" i="42"/>
  <c r="E92" i="42"/>
  <c r="E76" i="42"/>
  <c r="E52" i="42"/>
  <c r="E36" i="42"/>
  <c r="E47" i="42"/>
  <c r="E15" i="42"/>
  <c r="E34" i="42"/>
  <c r="E14" i="42"/>
  <c r="E49" i="42"/>
  <c r="E101" i="42"/>
  <c r="E90" i="42"/>
  <c r="E69" i="42"/>
  <c r="E65" i="42"/>
  <c r="E97" i="42"/>
  <c r="E31" i="42"/>
  <c r="E66" i="42"/>
  <c r="E99" i="42"/>
  <c r="E74" i="42"/>
  <c r="E81" i="42"/>
  <c r="E67" i="42"/>
  <c r="E83" i="42"/>
  <c r="E100" i="42"/>
  <c r="E68" i="42"/>
  <c r="E96" i="42"/>
  <c r="E80" i="42"/>
  <c r="E64" i="42"/>
  <c r="E56" i="42"/>
  <c r="E29" i="42"/>
  <c r="E13" i="42"/>
  <c r="E37" i="42"/>
  <c r="E17" i="42"/>
  <c r="K72" i="39"/>
  <c r="K70" i="39"/>
  <c r="E193" i="39"/>
  <c r="E188" i="39"/>
  <c r="E181" i="39"/>
  <c r="E185" i="39"/>
  <c r="B181" i="39"/>
  <c r="F193" i="39"/>
  <c r="F191" i="39"/>
  <c r="F181" i="39"/>
  <c r="D191" i="39"/>
  <c r="D181" i="39"/>
  <c r="D175" i="39"/>
  <c r="D173" i="39"/>
  <c r="E191" i="39"/>
  <c r="B38" i="39"/>
  <c r="C66" i="39"/>
  <c r="N34" i="39"/>
  <c r="H70" i="39"/>
  <c r="B30" i="39"/>
  <c r="C38" i="39"/>
  <c r="J34" i="39"/>
  <c r="D34" i="39"/>
  <c r="F30" i="39"/>
  <c r="N33" i="39"/>
  <c r="J38" i="39"/>
  <c r="I34" i="39"/>
  <c r="B34" i="39"/>
  <c r="N30" i="39"/>
  <c r="J29" i="39"/>
  <c r="N38" i="39"/>
  <c r="F38" i="39"/>
  <c r="C37" i="39"/>
  <c r="E34" i="39"/>
  <c r="C34" i="39"/>
  <c r="C30" i="39"/>
  <c r="J30" i="39"/>
  <c r="B70" i="39"/>
  <c r="E70" i="39"/>
  <c r="B66" i="39"/>
  <c r="E66" i="39"/>
  <c r="N66" i="39"/>
  <c r="D66" i="39"/>
  <c r="F78" i="39"/>
  <c r="M78" i="39"/>
  <c r="H78" i="39"/>
  <c r="C78" i="39"/>
  <c r="N78" i="39"/>
  <c r="M74" i="39"/>
  <c r="H74" i="39"/>
  <c r="N74" i="39"/>
  <c r="C76" i="39"/>
  <c r="N76" i="39"/>
  <c r="E74" i="39"/>
  <c r="H73" i="39"/>
  <c r="E76" i="39"/>
  <c r="D78" i="39"/>
  <c r="N72" i="39"/>
  <c r="H72" i="39"/>
  <c r="F72" i="39"/>
  <c r="M70" i="39"/>
  <c r="F70" i="39"/>
  <c r="M69" i="39"/>
  <c r="M66" i="39"/>
  <c r="F65" i="39"/>
  <c r="E1" i="42"/>
  <c r="E21" i="42"/>
  <c r="AS40" i="16"/>
  <c r="AS37" i="16"/>
  <c r="AS34" i="16"/>
  <c r="AS31" i="16"/>
  <c r="AS28" i="16"/>
  <c r="AS25" i="16"/>
  <c r="AS22" i="16"/>
  <c r="AS19" i="16"/>
  <c r="AS16" i="16"/>
  <c r="AS13" i="16"/>
  <c r="AR13" i="16"/>
  <c r="AR14" i="16"/>
  <c r="AR15" i="16"/>
  <c r="AR16" i="16"/>
  <c r="AR17" i="16"/>
  <c r="AR18" i="16"/>
  <c r="AR19" i="16"/>
  <c r="AR20" i="16"/>
  <c r="AR21" i="16"/>
  <c r="AR22" i="16"/>
  <c r="AR23" i="16"/>
  <c r="AR24" i="16"/>
  <c r="AR25" i="16"/>
  <c r="AR26" i="16"/>
  <c r="AR27" i="16"/>
  <c r="AR28" i="16"/>
  <c r="AR29" i="16"/>
  <c r="AR30" i="16"/>
  <c r="AR31" i="16"/>
  <c r="AR32" i="16"/>
  <c r="AR33" i="16"/>
  <c r="AR34" i="16"/>
  <c r="AR35" i="16"/>
  <c r="AR36" i="16"/>
  <c r="AR37" i="16"/>
  <c r="AR38" i="16"/>
  <c r="AR39" i="16"/>
  <c r="AR40" i="16"/>
  <c r="AR41" i="16"/>
  <c r="AR42" i="16"/>
  <c r="M43" i="39"/>
  <c r="J80" i="39"/>
  <c r="I80" i="39"/>
  <c r="O80" i="39"/>
  <c r="EK30" i="16"/>
  <c r="EJ29" i="16"/>
  <c r="EJ30" i="16"/>
  <c r="O16" i="17"/>
  <c r="O39" i="17"/>
  <c r="O40" i="17"/>
  <c r="O41" i="17"/>
  <c r="O42" i="17"/>
  <c r="O45" i="17"/>
  <c r="B42" i="39" s="1"/>
  <c r="O46" i="17"/>
  <c r="C16" i="17"/>
  <c r="H31" i="38"/>
  <c r="H33" i="38"/>
  <c r="H35" i="38"/>
  <c r="H36" i="38"/>
  <c r="H37" i="38"/>
  <c r="H42" i="38"/>
  <c r="H43" i="38"/>
  <c r="H44" i="38"/>
  <c r="H45" i="38"/>
  <c r="H48" i="38"/>
  <c r="H49" i="38"/>
  <c r="H50" i="38"/>
  <c r="H51" i="38"/>
  <c r="H53" i="38"/>
  <c r="H54" i="38"/>
  <c r="H55" i="38"/>
  <c r="H57" i="38"/>
  <c r="H58" i="38"/>
  <c r="H59" i="38"/>
  <c r="H60" i="38"/>
  <c r="H61" i="38"/>
  <c r="H63" i="38"/>
  <c r="H64" i="38"/>
  <c r="H66" i="38"/>
  <c r="H68" i="38"/>
  <c r="H69" i="38"/>
  <c r="H70" i="38"/>
  <c r="H71" i="38"/>
  <c r="H72" i="38"/>
  <c r="H74" i="38"/>
  <c r="H75" i="38"/>
  <c r="H78" i="38"/>
  <c r="H79" i="38"/>
  <c r="H81" i="38"/>
  <c r="H82" i="38"/>
  <c r="H83" i="38"/>
  <c r="H84" i="38"/>
  <c r="H85" i="38"/>
  <c r="H86" i="38"/>
  <c r="H87" i="38"/>
  <c r="H88" i="38"/>
  <c r="H90" i="38"/>
  <c r="H91" i="38"/>
  <c r="H92" i="38"/>
  <c r="H95" i="38"/>
  <c r="H96" i="38"/>
  <c r="H99" i="38"/>
  <c r="H102" i="38"/>
  <c r="H103" i="38"/>
  <c r="H104" i="38"/>
  <c r="H105" i="38"/>
  <c r="H106" i="38"/>
  <c r="H107" i="38"/>
  <c r="H108" i="38"/>
  <c r="H111" i="38"/>
  <c r="H112" i="38"/>
  <c r="H113" i="38"/>
  <c r="H114" i="38"/>
  <c r="H118" i="38"/>
  <c r="H120" i="38"/>
  <c r="H122" i="38"/>
  <c r="H123" i="38"/>
  <c r="H124" i="38"/>
  <c r="H126" i="38"/>
  <c r="H128" i="38"/>
  <c r="H129" i="38"/>
  <c r="H130" i="38"/>
  <c r="H131" i="38"/>
  <c r="H134" i="38"/>
  <c r="H135" i="38"/>
  <c r="H136" i="38"/>
  <c r="H137" i="38"/>
  <c r="H138" i="38"/>
  <c r="H140" i="38"/>
  <c r="H141" i="38"/>
  <c r="H142" i="38"/>
  <c r="H144" i="38"/>
  <c r="H146" i="38"/>
  <c r="H148" i="38"/>
  <c r="H149" i="38"/>
  <c r="H150" i="38"/>
  <c r="H151" i="38"/>
  <c r="H152" i="38"/>
  <c r="H153" i="38"/>
  <c r="H156" i="38"/>
  <c r="H157" i="38"/>
  <c r="H158" i="38"/>
  <c r="H159" i="38"/>
  <c r="H161" i="38"/>
  <c r="H162" i="38"/>
  <c r="H163" i="38"/>
  <c r="H164" i="38"/>
  <c r="H165" i="38"/>
  <c r="H166" i="38"/>
  <c r="H167" i="38"/>
  <c r="H168" i="38"/>
  <c r="H171" i="38"/>
  <c r="H172" i="38"/>
  <c r="H176" i="38"/>
  <c r="H177" i="38"/>
  <c r="H178" i="38"/>
  <c r="H179" i="38"/>
  <c r="H180" i="38"/>
  <c r="H182" i="38"/>
  <c r="H183" i="38"/>
  <c r="H184" i="38"/>
  <c r="H186" i="38"/>
  <c r="H187" i="38"/>
  <c r="H188" i="38"/>
  <c r="H191" i="38"/>
  <c r="H192" i="38"/>
  <c r="H193" i="38"/>
  <c r="H194" i="38"/>
  <c r="H196" i="38"/>
  <c r="H197" i="38"/>
  <c r="H198" i="38"/>
  <c r="H201" i="38"/>
  <c r="H202" i="38"/>
  <c r="H204" i="38"/>
  <c r="H206" i="38"/>
  <c r="H207" i="38"/>
  <c r="H208" i="38"/>
  <c r="H209" i="38"/>
  <c r="H210" i="38"/>
  <c r="H213" i="38"/>
  <c r="H214" i="38"/>
  <c r="H216" i="38"/>
  <c r="H218" i="38"/>
  <c r="H220" i="38"/>
  <c r="H222" i="38"/>
  <c r="H223" i="38"/>
  <c r="H224" i="38"/>
  <c r="H225" i="38"/>
  <c r="H226" i="38"/>
  <c r="H227" i="38"/>
  <c r="Q37" i="38"/>
  <c r="Q40" i="38"/>
  <c r="Q47" i="38"/>
  <c r="Q62" i="38"/>
  <c r="Q65" i="38"/>
  <c r="Q66" i="38"/>
  <c r="Q67" i="38"/>
  <c r="Q77" i="38"/>
  <c r="Q78" i="38"/>
  <c r="Q80" i="38"/>
  <c r="Q84" i="38"/>
  <c r="Q89" i="38"/>
  <c r="Q93" i="38"/>
  <c r="Q94" i="38"/>
  <c r="Q97" i="38"/>
  <c r="Q98" i="38"/>
  <c r="Q100" i="38"/>
  <c r="Q109" i="38"/>
  <c r="Q112" i="38"/>
  <c r="Q113" i="38"/>
  <c r="Q115" i="38"/>
  <c r="Q116" i="38"/>
  <c r="Q117" i="38"/>
  <c r="Q119" i="38"/>
  <c r="Q122" i="38"/>
  <c r="D5" i="46" s="1"/>
  <c r="Q124" i="38"/>
  <c r="Q127" i="38"/>
  <c r="Q131" i="38"/>
  <c r="Q132" i="38"/>
  <c r="Q136" i="38"/>
  <c r="Q139" i="38"/>
  <c r="Q142" i="38"/>
  <c r="Q143" i="38"/>
  <c r="Q154" i="38"/>
  <c r="Q155" i="38"/>
  <c r="Q166" i="38"/>
  <c r="Q167" i="38"/>
  <c r="Q168" i="38"/>
  <c r="Q169" i="38"/>
  <c r="Q170" i="38"/>
  <c r="Q172" i="38"/>
  <c r="Q174" i="38"/>
  <c r="Q188" i="38"/>
  <c r="Q189" i="38"/>
  <c r="Q190" i="38"/>
  <c r="Q193" i="38"/>
  <c r="Q195" i="38"/>
  <c r="Q199" i="38"/>
  <c r="Q202" i="38"/>
  <c r="Q204" i="38"/>
  <c r="Q217" i="38"/>
  <c r="Q219" i="38"/>
  <c r="Q220" i="38"/>
  <c r="Q223" i="38"/>
  <c r="Q224" i="38"/>
  <c r="H32" i="38"/>
  <c r="H34" i="38"/>
  <c r="H38" i="38"/>
  <c r="H41" i="38"/>
  <c r="H46" i="38"/>
  <c r="H52" i="38"/>
  <c r="H56" i="38"/>
  <c r="H73" i="38"/>
  <c r="H76" i="38"/>
  <c r="H101" i="38"/>
  <c r="H110" i="38"/>
  <c r="H121" i="38"/>
  <c r="H125" i="38"/>
  <c r="H133" i="38"/>
  <c r="H145" i="38"/>
  <c r="H147" i="38"/>
  <c r="H173" i="38"/>
  <c r="H175" i="38"/>
  <c r="H181" i="38"/>
  <c r="H185" i="38"/>
  <c r="H200" i="38"/>
  <c r="H203" i="38"/>
  <c r="H205" i="38"/>
  <c r="H212" i="38"/>
  <c r="H215" i="38"/>
  <c r="H221" i="38"/>
  <c r="Q121" i="38"/>
  <c r="Q125" i="38"/>
  <c r="Q200" i="38"/>
  <c r="Q205" i="38"/>
  <c r="Q215" i="38"/>
  <c r="Q221" i="38"/>
  <c r="O215" i="38"/>
  <c r="P215" i="38" s="1"/>
  <c r="O205" i="38"/>
  <c r="P205" i="38" s="1"/>
  <c r="O189" i="38"/>
  <c r="P189" i="38" s="1"/>
  <c r="O190" i="38"/>
  <c r="P190" i="38" s="1"/>
  <c r="O174" i="38"/>
  <c r="P174" i="38" s="1"/>
  <c r="P175" i="38"/>
  <c r="O154" i="38"/>
  <c r="P154" i="38" s="1"/>
  <c r="O139" i="38"/>
  <c r="P139" i="38" s="1"/>
  <c r="O115" i="38"/>
  <c r="P115" i="38" s="1"/>
  <c r="O40" i="38"/>
  <c r="P40" i="38" s="1"/>
  <c r="O47" i="38"/>
  <c r="O80" i="38"/>
  <c r="P80" i="38" s="1"/>
  <c r="O89" i="38"/>
  <c r="P89" i="38" s="1"/>
  <c r="O93" i="38"/>
  <c r="P93" i="38" s="1"/>
  <c r="O94" i="38"/>
  <c r="P94" i="38" s="1"/>
  <c r="O98" i="38"/>
  <c r="P98" i="38" s="1"/>
  <c r="O100" i="38"/>
  <c r="P100" i="38" s="1"/>
  <c r="O109" i="38"/>
  <c r="P109" i="38" s="1"/>
  <c r="O117" i="38"/>
  <c r="P117" i="38" s="1"/>
  <c r="O121" i="38"/>
  <c r="P121" i="38" s="1"/>
  <c r="O125" i="38"/>
  <c r="P125" i="38" s="1"/>
  <c r="O127" i="38"/>
  <c r="P127" i="38" s="1"/>
  <c r="O132" i="38"/>
  <c r="P132" i="38" s="1"/>
  <c r="O169" i="38"/>
  <c r="P169" i="38" s="1"/>
  <c r="O170" i="38"/>
  <c r="P170" i="38" s="1"/>
  <c r="O195" i="38"/>
  <c r="P195" i="38" s="1"/>
  <c r="O199" i="38"/>
  <c r="P199" i="38" s="1"/>
  <c r="O200" i="38"/>
  <c r="P200" i="38" s="1"/>
  <c r="O217" i="38"/>
  <c r="P217" i="38" s="1"/>
  <c r="O221" i="38"/>
  <c r="P221" i="38" s="1"/>
  <c r="O224" i="38"/>
  <c r="P224" i="38" s="1"/>
  <c r="O188" i="38"/>
  <c r="P188" i="38" s="1"/>
  <c r="O172" i="38"/>
  <c r="P172" i="38" s="1"/>
  <c r="O168" i="38"/>
  <c r="P168" i="38" s="1"/>
  <c r="O155" i="38"/>
  <c r="P155" i="38" s="1"/>
  <c r="O136" i="38"/>
  <c r="P136" i="38" s="1"/>
  <c r="O119" i="38"/>
  <c r="P119" i="38" s="1"/>
  <c r="O66" i="38"/>
  <c r="P66" i="38" s="1"/>
  <c r="O39" i="38"/>
  <c r="P39" i="38" s="1"/>
  <c r="O124" i="38"/>
  <c r="P124" i="38" s="1"/>
  <c r="O113" i="38"/>
  <c r="P113" i="38" s="1"/>
  <c r="O62" i="38"/>
  <c r="P62" i="38" s="1"/>
  <c r="O65" i="38"/>
  <c r="P65" i="38" s="1"/>
  <c r="O67" i="38"/>
  <c r="P67" i="38" s="1"/>
  <c r="O77" i="38"/>
  <c r="P77" i="38" s="1"/>
  <c r="O97" i="38"/>
  <c r="P97" i="38" s="1"/>
  <c r="O116" i="38"/>
  <c r="P116" i="38" s="1"/>
  <c r="O143" i="38"/>
  <c r="P143" i="38" s="1"/>
  <c r="O160" i="38"/>
  <c r="P160" i="38" s="1"/>
  <c r="O211" i="38"/>
  <c r="P211" i="38" s="1"/>
  <c r="O219" i="38"/>
  <c r="P219" i="38" s="1"/>
  <c r="O193" i="38"/>
  <c r="P193" i="38" s="1"/>
  <c r="O142" i="38"/>
  <c r="P142" i="38" s="1"/>
  <c r="O122" i="38"/>
  <c r="P122" i="38" s="1"/>
  <c r="O223" i="38"/>
  <c r="P223" i="38" s="1"/>
  <c r="O220" i="38"/>
  <c r="P220" i="38" s="1"/>
  <c r="O167" i="38"/>
  <c r="P167" i="38" s="1"/>
  <c r="O166" i="38"/>
  <c r="P166" i="38" s="1"/>
  <c r="O84" i="38"/>
  <c r="P84" i="38" s="1"/>
  <c r="O54" i="38"/>
  <c r="P54" i="38" s="1"/>
  <c r="O37" i="38"/>
  <c r="P37" i="38" s="1"/>
  <c r="P112" i="38"/>
  <c r="O204" i="38"/>
  <c r="P204" i="38" s="1"/>
  <c r="P111" i="38"/>
  <c r="P47" i="38"/>
  <c r="R7" i="5"/>
  <c r="Q7" i="5"/>
  <c r="AA66" i="16"/>
  <c r="N25" i="22"/>
  <c r="N26" i="22"/>
  <c r="N24" i="22"/>
  <c r="M29" i="25"/>
  <c r="AA49" i="16"/>
  <c r="AA50" i="16"/>
  <c r="AA51" i="16"/>
  <c r="AA52" i="16"/>
  <c r="AA53" i="16"/>
  <c r="AA54" i="16"/>
  <c r="AA55" i="16"/>
  <c r="AA56" i="16"/>
  <c r="AA57" i="16"/>
  <c r="AA58" i="16"/>
  <c r="AA59" i="16"/>
  <c r="AA60" i="16"/>
  <c r="AA61" i="16"/>
  <c r="AA62" i="16"/>
  <c r="AA63" i="16"/>
  <c r="AA64" i="16"/>
  <c r="AA65" i="16"/>
  <c r="AA7" i="16"/>
  <c r="AA8" i="16"/>
  <c r="AA9" i="16"/>
  <c r="AA10" i="16"/>
  <c r="AA11" i="16"/>
  <c r="AA12" i="16"/>
  <c r="AA13" i="16"/>
  <c r="AA14" i="16"/>
  <c r="AA15" i="16"/>
  <c r="AA16" i="16"/>
  <c r="AA17" i="16"/>
  <c r="AA18" i="16"/>
  <c r="AA19" i="16"/>
  <c r="AA20" i="16"/>
  <c r="AA21" i="16"/>
  <c r="AA22" i="16"/>
  <c r="AA23" i="16"/>
  <c r="AA24" i="16"/>
  <c r="AA25" i="16"/>
  <c r="AA26" i="16"/>
  <c r="AA27" i="16"/>
  <c r="AA28" i="16"/>
  <c r="AA29" i="16"/>
  <c r="AA30" i="16"/>
  <c r="AA31" i="16"/>
  <c r="AA32" i="16"/>
  <c r="AA33" i="16"/>
  <c r="AA34" i="16"/>
  <c r="AA35" i="16"/>
  <c r="AA36" i="16"/>
  <c r="AA37" i="16"/>
  <c r="AA38" i="16"/>
  <c r="AA39" i="16"/>
  <c r="AA40" i="16"/>
  <c r="AA41" i="16"/>
  <c r="AA42" i="16"/>
  <c r="AA43" i="16"/>
  <c r="AA44" i="16"/>
  <c r="AA45" i="16"/>
  <c r="AA46" i="16"/>
  <c r="AA47" i="16"/>
  <c r="AA48" i="16"/>
  <c r="J13" i="31"/>
  <c r="J57" i="4"/>
  <c r="Q57" i="4" s="1"/>
  <c r="J56" i="4"/>
  <c r="Q56" i="4" s="1"/>
  <c r="J55" i="4"/>
  <c r="Q55" i="4" s="1"/>
  <c r="J54" i="4"/>
  <c r="Q54" i="4" s="1"/>
  <c r="J53" i="4"/>
  <c r="Q53" i="4" s="1"/>
  <c r="J52" i="4"/>
  <c r="Q52" i="4" s="1"/>
  <c r="J51" i="4"/>
  <c r="Q51" i="4" s="1"/>
  <c r="J50" i="4"/>
  <c r="Q50" i="4" s="1"/>
  <c r="J49" i="4"/>
  <c r="Q49" i="4" s="1"/>
  <c r="J48" i="4"/>
  <c r="Q48" i="4" s="1"/>
  <c r="J47" i="4"/>
  <c r="Q47" i="4" s="1"/>
  <c r="J46" i="4"/>
  <c r="Q46" i="4" s="1"/>
  <c r="J45" i="4"/>
  <c r="Q45" i="4" s="1"/>
  <c r="J44" i="4"/>
  <c r="Q44" i="4" s="1"/>
  <c r="J43" i="4"/>
  <c r="Q43" i="4" s="1"/>
  <c r="J42" i="4"/>
  <c r="Q42" i="4" s="1"/>
  <c r="J41" i="4"/>
  <c r="Q41" i="4" s="1"/>
  <c r="J40" i="4"/>
  <c r="Q40" i="4" s="1"/>
  <c r="J39" i="4"/>
  <c r="Q39" i="4" s="1"/>
  <c r="J38" i="4"/>
  <c r="Q38" i="4" s="1"/>
  <c r="J37" i="4"/>
  <c r="Q37" i="4" s="1"/>
  <c r="J36" i="4"/>
  <c r="Q36" i="4" s="1"/>
  <c r="J35" i="4"/>
  <c r="Q35" i="4" s="1"/>
  <c r="J34" i="4"/>
  <c r="Q34" i="4" s="1"/>
  <c r="J33" i="4"/>
  <c r="Q33" i="4" s="1"/>
  <c r="J32" i="4"/>
  <c r="Q32" i="4" s="1"/>
  <c r="J31" i="4"/>
  <c r="Q31" i="4" s="1"/>
  <c r="J30" i="4"/>
  <c r="Q30" i="4" s="1"/>
  <c r="J29" i="4"/>
  <c r="Q29" i="4" s="1"/>
  <c r="J28" i="4"/>
  <c r="Q28" i="4" s="1"/>
  <c r="J27" i="4"/>
  <c r="Q27" i="4" s="1"/>
  <c r="J26" i="4"/>
  <c r="Q26" i="4" s="1"/>
  <c r="J25" i="4"/>
  <c r="Q25" i="4" s="1"/>
  <c r="J24" i="4"/>
  <c r="Q24" i="4" s="1"/>
  <c r="J23" i="4"/>
  <c r="Q23" i="4" s="1"/>
  <c r="J22" i="4"/>
  <c r="Q22" i="4" s="1"/>
  <c r="J21" i="4"/>
  <c r="Q21" i="4" s="1"/>
  <c r="J20" i="4"/>
  <c r="Q20" i="4" s="1"/>
  <c r="J19" i="4"/>
  <c r="Q19" i="4" s="1"/>
  <c r="J18" i="4"/>
  <c r="Q18" i="4" s="1"/>
  <c r="J17" i="4"/>
  <c r="Q17" i="4" s="1"/>
  <c r="J16" i="4"/>
  <c r="Q16" i="4" s="1"/>
  <c r="J15" i="4"/>
  <c r="Q15" i="4" s="1"/>
  <c r="J14" i="4"/>
  <c r="Q14" i="4" s="1"/>
  <c r="D7" i="16"/>
  <c r="D8" i="16"/>
  <c r="D9" i="16"/>
  <c r="D10" i="16"/>
  <c r="E7" i="16"/>
  <c r="E9" i="16"/>
  <c r="E8" i="16" s="1"/>
  <c r="E10" i="16"/>
  <c r="D11" i="16"/>
  <c r="E11" i="16"/>
  <c r="D12" i="16"/>
  <c r="E13" i="16"/>
  <c r="D13" i="16"/>
  <c r="D14" i="16"/>
  <c r="D15" i="16"/>
  <c r="E15" i="16"/>
  <c r="D16" i="16"/>
  <c r="E17" i="16"/>
  <c r="E16" i="16" s="1"/>
  <c r="D17" i="16"/>
  <c r="D18" i="16"/>
  <c r="D19" i="16"/>
  <c r="E19" i="16"/>
  <c r="D20" i="16"/>
  <c r="E20" i="16"/>
  <c r="D21" i="16"/>
  <c r="E21" i="16"/>
  <c r="E22" i="16" s="1"/>
  <c r="D22" i="16"/>
  <c r="D23" i="16"/>
  <c r="E23" i="16"/>
  <c r="D24" i="16"/>
  <c r="E24" i="16"/>
  <c r="D25" i="16"/>
  <c r="E25" i="16"/>
  <c r="E26" i="16" s="1"/>
  <c r="D26" i="16"/>
  <c r="D27" i="16"/>
  <c r="E27" i="16"/>
  <c r="D28" i="16"/>
  <c r="E28" i="16"/>
  <c r="D29" i="16"/>
  <c r="E29" i="16"/>
  <c r="E30" i="16" s="1"/>
  <c r="D30" i="16"/>
  <c r="D31" i="16"/>
  <c r="D32" i="16"/>
  <c r="D33" i="16"/>
  <c r="D34" i="16"/>
  <c r="D35" i="16"/>
  <c r="D36" i="16"/>
  <c r="D37" i="16"/>
  <c r="D38" i="16"/>
  <c r="D39" i="16"/>
  <c r="E39" i="16"/>
  <c r="D40" i="16"/>
  <c r="E40" i="16"/>
  <c r="D41" i="16"/>
  <c r="E41" i="16"/>
  <c r="E42" i="16" s="1"/>
  <c r="D42" i="16"/>
  <c r="D43" i="16"/>
  <c r="E43" i="16"/>
  <c r="D44" i="16"/>
  <c r="D45" i="16"/>
  <c r="E45" i="16"/>
  <c r="E46" i="16" s="1"/>
  <c r="D46" i="16"/>
  <c r="D47" i="16"/>
  <c r="E47" i="16"/>
  <c r="D48" i="16"/>
  <c r="D49" i="16"/>
  <c r="E49" i="16"/>
  <c r="E50" i="16" s="1"/>
  <c r="D50" i="16"/>
  <c r="D51" i="16"/>
  <c r="E51" i="16"/>
  <c r="D52" i="16"/>
  <c r="D53" i="16"/>
  <c r="E53" i="16"/>
  <c r="E54" i="16" s="1"/>
  <c r="D54" i="16"/>
  <c r="D55" i="16"/>
  <c r="E55" i="16"/>
  <c r="D56" i="16"/>
  <c r="D57" i="16"/>
  <c r="E57" i="16"/>
  <c r="E58" i="16" s="1"/>
  <c r="D58" i="16"/>
  <c r="D59" i="16"/>
  <c r="D60" i="16"/>
  <c r="D61" i="16"/>
  <c r="D62" i="16"/>
  <c r="D63" i="16"/>
  <c r="E63" i="16"/>
  <c r="D64" i="16"/>
  <c r="D65" i="16"/>
  <c r="E65" i="16"/>
  <c r="E66" i="16" s="1"/>
  <c r="D66" i="16"/>
  <c r="D67" i="16"/>
  <c r="D68" i="16"/>
  <c r="D69" i="16"/>
  <c r="D70" i="16"/>
  <c r="D71" i="16"/>
  <c r="E71" i="16"/>
  <c r="D72" i="16"/>
  <c r="E72" i="16"/>
  <c r="D73" i="16"/>
  <c r="E73" i="16"/>
  <c r="E74" i="16" s="1"/>
  <c r="D74" i="16"/>
  <c r="D75" i="16"/>
  <c r="E75" i="16"/>
  <c r="D76" i="16"/>
  <c r="E76" i="16"/>
  <c r="D77" i="16"/>
  <c r="E77" i="16"/>
  <c r="E78" i="16" s="1"/>
  <c r="D78" i="16"/>
  <c r="D79" i="16"/>
  <c r="E79" i="16"/>
  <c r="D80" i="16"/>
  <c r="E80" i="16"/>
  <c r="D81" i="16"/>
  <c r="E81" i="16"/>
  <c r="D82" i="16"/>
  <c r="D83" i="16"/>
  <c r="E83" i="16"/>
  <c r="D84" i="16"/>
  <c r="E84" i="16"/>
  <c r="D85" i="16"/>
  <c r="E85" i="16"/>
  <c r="E86" i="16" s="1"/>
  <c r="D86" i="16"/>
  <c r="D87" i="16"/>
  <c r="E87" i="16"/>
  <c r="D88" i="16"/>
  <c r="E89" i="16"/>
  <c r="E88" i="16" s="1"/>
  <c r="D89" i="16"/>
  <c r="D90" i="16"/>
  <c r="D91" i="16"/>
  <c r="E91" i="16"/>
  <c r="D92" i="16"/>
  <c r="E93" i="16"/>
  <c r="E92" i="16" s="1"/>
  <c r="D93" i="16"/>
  <c r="D94" i="16"/>
  <c r="D95" i="16"/>
  <c r="E95" i="16"/>
  <c r="D96" i="16"/>
  <c r="E96" i="16"/>
  <c r="D97" i="16"/>
  <c r="E97" i="16"/>
  <c r="E98" i="16" s="1"/>
  <c r="D98" i="16"/>
  <c r="D99" i="16"/>
  <c r="E99" i="16"/>
  <c r="D100" i="16"/>
  <c r="E100" i="16"/>
  <c r="D101" i="16"/>
  <c r="E101" i="16"/>
  <c r="D102" i="16"/>
  <c r="D103" i="16"/>
  <c r="D104" i="16"/>
  <c r="E104" i="16"/>
  <c r="D105" i="16"/>
  <c r="E105" i="16"/>
  <c r="E106" i="16" s="1"/>
  <c r="D106" i="16"/>
  <c r="D107" i="16"/>
  <c r="D108" i="16"/>
  <c r="E108" i="16"/>
  <c r="D109" i="16"/>
  <c r="E109" i="16"/>
  <c r="E110" i="16" s="1"/>
  <c r="D110" i="16"/>
  <c r="D111" i="16"/>
  <c r="D112" i="16"/>
  <c r="D113" i="16"/>
  <c r="D114" i="16"/>
  <c r="N108" i="3"/>
  <c r="S108" i="3" s="1" a="1"/>
  <c r="S108" i="3" s="1"/>
  <c r="R108" i="3" s="1"/>
  <c r="N104" i="3"/>
  <c r="S104" i="3" s="1" a="1"/>
  <c r="S104" i="3" s="1"/>
  <c r="R104" i="3" s="1"/>
  <c r="N103" i="3"/>
  <c r="S103" i="3" s="1" a="1"/>
  <c r="S103" i="3" s="1"/>
  <c r="R103" i="3" s="1"/>
  <c r="N102" i="3"/>
  <c r="S102" i="3" s="1" a="1"/>
  <c r="S102" i="3" s="1"/>
  <c r="R102" i="3" s="1"/>
  <c r="N101" i="3"/>
  <c r="S101" i="3" s="1" a="1"/>
  <c r="S101" i="3" s="1"/>
  <c r="R101" i="3" s="1"/>
  <c r="N100" i="3"/>
  <c r="S100" i="3" s="1" a="1"/>
  <c r="S100" i="3" s="1"/>
  <c r="R100" i="3" s="1"/>
  <c r="N96" i="3"/>
  <c r="S96" i="3" s="1" a="1"/>
  <c r="S96" i="3" s="1"/>
  <c r="R96" i="3" s="1"/>
  <c r="N95" i="3"/>
  <c r="S95" i="3" s="1" a="1"/>
  <c r="S95" i="3" s="1"/>
  <c r="R95" i="3" s="1"/>
  <c r="N94" i="3"/>
  <c r="S94" i="3" s="1" a="1"/>
  <c r="S94" i="3" s="1"/>
  <c r="R94" i="3" s="1"/>
  <c r="N93" i="3"/>
  <c r="S93" i="3" s="1" a="1"/>
  <c r="S93" i="3" s="1"/>
  <c r="R93" i="3" s="1"/>
  <c r="N71" i="3"/>
  <c r="S71" i="3" s="1" a="1"/>
  <c r="S71" i="3" s="1"/>
  <c r="R71" i="3" s="1"/>
  <c r="N70" i="3"/>
  <c r="S70" i="3" s="1" a="1"/>
  <c r="S70" i="3" s="1"/>
  <c r="R70" i="3" s="1"/>
  <c r="N69" i="3"/>
  <c r="S69" i="3" s="1" a="1"/>
  <c r="S69" i="3" s="1"/>
  <c r="R69" i="3" s="1"/>
  <c r="N68" i="3"/>
  <c r="S68" i="3" s="1" a="1"/>
  <c r="S68" i="3" s="1"/>
  <c r="R68" i="3" s="1"/>
  <c r="N24" i="3"/>
  <c r="S24" i="3" s="1" a="1"/>
  <c r="S24" i="3" s="1"/>
  <c r="R24" i="3" s="1"/>
  <c r="N23" i="3"/>
  <c r="S23" i="3" s="1" a="1"/>
  <c r="S23" i="3" s="1"/>
  <c r="R23" i="3" s="1"/>
  <c r="N22" i="3"/>
  <c r="S22" i="3" s="1" a="1"/>
  <c r="S22" i="3" s="1"/>
  <c r="R22" i="3" s="1"/>
  <c r="N21" i="3"/>
  <c r="S21" i="3" s="1" a="1"/>
  <c r="S21" i="3" s="1"/>
  <c r="R21" i="3" s="1"/>
  <c r="N20" i="3"/>
  <c r="S20" i="3" s="1" a="1"/>
  <c r="S20" i="3" s="1"/>
  <c r="R20" i="3" s="1"/>
  <c r="B3" i="35"/>
  <c r="D3" i="35" s="1"/>
  <c r="B4" i="35"/>
  <c r="D4" i="35" s="1"/>
  <c r="B5" i="35"/>
  <c r="B6" i="35"/>
  <c r="B7" i="35"/>
  <c r="E7" i="35" s="1"/>
  <c r="B8" i="35"/>
  <c r="B9" i="35"/>
  <c r="B2" i="35"/>
  <c r="D2" i="35" s="1"/>
  <c r="L18" i="3"/>
  <c r="E5" i="35"/>
  <c r="N29" i="3"/>
  <c r="S29" i="3" s="1" a="1"/>
  <c r="S29" i="3" s="1"/>
  <c r="R29" i="3" s="1"/>
  <c r="N105" i="3"/>
  <c r="S105" i="3" s="1" a="1"/>
  <c r="S105" i="3" s="1"/>
  <c r="R105" i="3" s="1"/>
  <c r="N61" i="3"/>
  <c r="S61" i="3" s="1" a="1"/>
  <c r="S61" i="3" s="1"/>
  <c r="R61" i="3" s="1"/>
  <c r="N107" i="3"/>
  <c r="S107" i="3" s="1" a="1"/>
  <c r="S107" i="3" s="1"/>
  <c r="R107" i="3" s="1"/>
  <c r="C3" i="35"/>
  <c r="C4" i="35"/>
  <c r="C5" i="35"/>
  <c r="C6" i="35"/>
  <c r="C7" i="35"/>
  <c r="C8" i="35"/>
  <c r="C9" i="35"/>
  <c r="C2" i="35"/>
  <c r="B45" i="35"/>
  <c r="T7" i="5"/>
  <c r="U7" i="5"/>
  <c r="O10" i="27"/>
  <c r="Q10" i="27"/>
  <c r="P10" i="27"/>
  <c r="C5" i="33"/>
  <c r="D5" i="33"/>
  <c r="E9" i="22"/>
  <c r="AE11" i="16"/>
  <c r="AE10" i="16"/>
  <c r="AE9" i="16"/>
  <c r="AE8" i="16"/>
  <c r="AE7" i="16"/>
  <c r="O26" i="5" s="1"/>
  <c r="S8" i="33"/>
  <c r="U8" i="33" s="1"/>
  <c r="S9" i="33"/>
  <c r="U9" i="33"/>
  <c r="S11" i="33"/>
  <c r="U11" i="33" s="1"/>
  <c r="J174" i="17"/>
  <c r="R174" i="17" s="1"/>
  <c r="J173" i="17"/>
  <c r="R173" i="17" s="1"/>
  <c r="E78" i="39" s="1"/>
  <c r="J19" i="3"/>
  <c r="P19" i="3" s="1"/>
  <c r="J20" i="3"/>
  <c r="P20" i="3" s="1"/>
  <c r="J21" i="3"/>
  <c r="P21" i="3" s="1"/>
  <c r="J22" i="3"/>
  <c r="P22" i="3" s="1"/>
  <c r="J23" i="3"/>
  <c r="P23" i="3" s="1"/>
  <c r="J24" i="3"/>
  <c r="P24" i="3" s="1"/>
  <c r="J25" i="3"/>
  <c r="P25" i="3" s="1"/>
  <c r="J26" i="3"/>
  <c r="P26" i="3" s="1"/>
  <c r="J27" i="3"/>
  <c r="P27" i="3" s="1"/>
  <c r="J28" i="3"/>
  <c r="P28" i="3" s="1"/>
  <c r="J29" i="3"/>
  <c r="P29" i="3" s="1"/>
  <c r="J61" i="3"/>
  <c r="P61" i="3" s="1"/>
  <c r="J62" i="3"/>
  <c r="P62" i="3" s="1"/>
  <c r="J63" i="3"/>
  <c r="P63" i="3" s="1"/>
  <c r="J64" i="3"/>
  <c r="P64" i="3" s="1"/>
  <c r="J65" i="3"/>
  <c r="P65" i="3" s="1"/>
  <c r="J66" i="3"/>
  <c r="P66" i="3" s="1"/>
  <c r="J67" i="3"/>
  <c r="P67" i="3" s="1"/>
  <c r="J68" i="3"/>
  <c r="P68" i="3" s="1"/>
  <c r="J69" i="3"/>
  <c r="P69" i="3" s="1"/>
  <c r="J70" i="3"/>
  <c r="P70" i="3" s="1"/>
  <c r="J71" i="3"/>
  <c r="P71" i="3" s="1"/>
  <c r="J72" i="3"/>
  <c r="P72" i="3" s="1"/>
  <c r="J73" i="3"/>
  <c r="P73" i="3" s="1"/>
  <c r="J74" i="3"/>
  <c r="P74" i="3" s="1"/>
  <c r="J93" i="3"/>
  <c r="P93" i="3" s="1"/>
  <c r="J94" i="3"/>
  <c r="P94" i="3" s="1"/>
  <c r="J95" i="3"/>
  <c r="P95" i="3" s="1"/>
  <c r="J96" i="3"/>
  <c r="P96" i="3" s="1"/>
  <c r="J97" i="3"/>
  <c r="P97" i="3" s="1"/>
  <c r="J98" i="3"/>
  <c r="P98" i="3" s="1"/>
  <c r="J99" i="3"/>
  <c r="P99" i="3" s="1"/>
  <c r="J100" i="3"/>
  <c r="P100" i="3" s="1"/>
  <c r="J101" i="3"/>
  <c r="P101" i="3" s="1"/>
  <c r="J102" i="3"/>
  <c r="P102" i="3" s="1"/>
  <c r="J103" i="3"/>
  <c r="P103" i="3" s="1"/>
  <c r="J104" i="3"/>
  <c r="P104" i="3" s="1"/>
  <c r="J105" i="3"/>
  <c r="P105" i="3" s="1"/>
  <c r="J106" i="3"/>
  <c r="P106" i="3" s="1"/>
  <c r="J107" i="3"/>
  <c r="P107" i="3" s="1"/>
  <c r="J108" i="3"/>
  <c r="P108" i="3" s="1"/>
  <c r="J18" i="3"/>
  <c r="P18" i="3" s="1"/>
  <c r="J17" i="3"/>
  <c r="P17" i="3" s="1"/>
  <c r="L22" i="4"/>
  <c r="M22" i="4" s="1"/>
  <c r="L23" i="4"/>
  <c r="M23" i="4" s="1"/>
  <c r="L27" i="4"/>
  <c r="M27" i="4" s="1"/>
  <c r="L30" i="4"/>
  <c r="M30" i="4" s="1"/>
  <c r="L31" i="4"/>
  <c r="M31" i="4" s="1"/>
  <c r="L34" i="4"/>
  <c r="M34" i="4" s="1"/>
  <c r="L35" i="4"/>
  <c r="M35" i="4" s="1"/>
  <c r="L38" i="4"/>
  <c r="M38" i="4" s="1"/>
  <c r="L39" i="4"/>
  <c r="M39" i="4" s="1"/>
  <c r="L42" i="4"/>
  <c r="M42" i="4" s="1"/>
  <c r="L43" i="4"/>
  <c r="M43" i="4" s="1"/>
  <c r="L46" i="4"/>
  <c r="M46" i="4" s="1"/>
  <c r="L47" i="4"/>
  <c r="M47" i="4" s="1"/>
  <c r="L50" i="4"/>
  <c r="M50" i="4" s="1"/>
  <c r="L51" i="4"/>
  <c r="M51" i="4" s="1"/>
  <c r="L54" i="4"/>
  <c r="M54" i="4" s="1"/>
  <c r="L55" i="4"/>
  <c r="M55" i="4" s="1"/>
  <c r="M13" i="7"/>
  <c r="M14" i="7"/>
  <c r="M15" i="7"/>
  <c r="M16" i="7"/>
  <c r="T16" i="7" s="1"/>
  <c r="M17" i="7"/>
  <c r="M18" i="7"/>
  <c r="M19" i="7"/>
  <c r="M20" i="7"/>
  <c r="T20" i="7" s="1"/>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12" i="7"/>
  <c r="O14" i="2"/>
  <c r="U14" i="2" s="1"/>
  <c r="O15" i="2"/>
  <c r="U15" i="2" s="1"/>
  <c r="O16" i="2"/>
  <c r="U16" i="2" s="1"/>
  <c r="O17" i="2"/>
  <c r="U17" i="2" s="1"/>
  <c r="O18" i="2"/>
  <c r="U18" i="2" s="1"/>
  <c r="O19" i="2"/>
  <c r="U19" i="2" s="1"/>
  <c r="O20" i="2"/>
  <c r="U20" i="2" s="1"/>
  <c r="O21" i="2"/>
  <c r="U21" i="2" s="1"/>
  <c r="O22" i="2"/>
  <c r="U22" i="2" s="1"/>
  <c r="O23" i="2"/>
  <c r="U23" i="2" s="1"/>
  <c r="O24" i="2"/>
  <c r="U24" i="2" s="1"/>
  <c r="O25" i="2"/>
  <c r="U25" i="2" s="1"/>
  <c r="O26" i="2"/>
  <c r="U26" i="2" s="1"/>
  <c r="O27" i="2"/>
  <c r="U27" i="2" s="1"/>
  <c r="O28" i="2"/>
  <c r="U28" i="2" s="1"/>
  <c r="O29" i="2"/>
  <c r="U29" i="2" s="1"/>
  <c r="O30" i="2"/>
  <c r="U30" i="2" s="1"/>
  <c r="O31" i="2"/>
  <c r="U31" i="2" s="1"/>
  <c r="O32" i="2"/>
  <c r="U32" i="2" s="1"/>
  <c r="O33" i="2"/>
  <c r="U33" i="2" s="1"/>
  <c r="O34" i="2"/>
  <c r="U34" i="2" s="1"/>
  <c r="O35" i="2"/>
  <c r="U35" i="2" s="1"/>
  <c r="O36" i="2"/>
  <c r="U36" i="2" s="1"/>
  <c r="O37" i="2"/>
  <c r="U37" i="2" s="1"/>
  <c r="O38" i="2"/>
  <c r="U38" i="2" s="1"/>
  <c r="O39" i="2"/>
  <c r="U39" i="2" s="1"/>
  <c r="O40" i="2"/>
  <c r="U40" i="2" s="1"/>
  <c r="O41" i="2"/>
  <c r="U41" i="2" s="1"/>
  <c r="O42" i="2"/>
  <c r="U42" i="2" s="1"/>
  <c r="O43" i="2"/>
  <c r="U43" i="2" s="1"/>
  <c r="O44" i="2"/>
  <c r="U44" i="2" s="1"/>
  <c r="O45" i="2"/>
  <c r="U45" i="2" s="1"/>
  <c r="O46" i="2"/>
  <c r="U46" i="2" s="1"/>
  <c r="O47" i="2"/>
  <c r="U47" i="2" s="1"/>
  <c r="O48" i="2"/>
  <c r="U48" i="2" s="1"/>
  <c r="O49" i="2"/>
  <c r="U49" i="2" s="1"/>
  <c r="O50" i="2"/>
  <c r="U50" i="2" s="1"/>
  <c r="O51" i="2"/>
  <c r="U51" i="2" s="1"/>
  <c r="O52" i="2"/>
  <c r="U52" i="2" s="1"/>
  <c r="O53" i="2"/>
  <c r="U53" i="2" s="1"/>
  <c r="O54" i="2"/>
  <c r="U54" i="2" s="1"/>
  <c r="O55" i="2"/>
  <c r="U55" i="2" s="1"/>
  <c r="O56" i="2"/>
  <c r="U56" i="2" s="1"/>
  <c r="O57" i="2"/>
  <c r="U57" i="2" s="1"/>
  <c r="O58" i="2"/>
  <c r="U58" i="2" s="1"/>
  <c r="O59" i="2"/>
  <c r="U59" i="2" s="1"/>
  <c r="O60" i="2"/>
  <c r="U60" i="2" s="1"/>
  <c r="J109" i="17"/>
  <c r="R109" i="17" s="1"/>
  <c r="J110" i="17"/>
  <c r="R110" i="17" s="1"/>
  <c r="J142" i="17"/>
  <c r="R142" i="17" s="1"/>
  <c r="J39" i="17"/>
  <c r="R39" i="17" s="1"/>
  <c r="B73" i="39" s="1"/>
  <c r="J40" i="17"/>
  <c r="R40" i="17" s="1"/>
  <c r="B74" i="39" s="1"/>
  <c r="J41" i="17"/>
  <c r="R41" i="17" s="1"/>
  <c r="J42" i="17"/>
  <c r="R42" i="17" s="1"/>
  <c r="B76" i="39" s="1"/>
  <c r="J45" i="17"/>
  <c r="R45" i="17" s="1"/>
  <c r="J46" i="17"/>
  <c r="R46" i="17" s="1"/>
  <c r="D362" i="16"/>
  <c r="E362" i="16"/>
  <c r="E363" i="16" s="1"/>
  <c r="G142" i="17" a="1"/>
  <c r="G142" i="17" s="1"/>
  <c r="G173" i="17" a="1"/>
  <c r="G173" i="17" s="1"/>
  <c r="G174" i="17" a="1"/>
  <c r="G174" i="17" s="1"/>
  <c r="G177" i="17" a="1"/>
  <c r="G177" i="17" s="1"/>
  <c r="G109" i="17" a="1"/>
  <c r="G109" i="17" s="1"/>
  <c r="G110" i="17" a="1"/>
  <c r="G110" i="17" s="1"/>
  <c r="D363" i="16"/>
  <c r="D364" i="16"/>
  <c r="D365" i="16"/>
  <c r="D366" i="16"/>
  <c r="E365" i="16"/>
  <c r="E366" i="16" s="1"/>
  <c r="D367" i="16"/>
  <c r="D368" i="16"/>
  <c r="E368" i="16"/>
  <c r="E369" i="16" s="1"/>
  <c r="D369" i="16"/>
  <c r="D370" i="16"/>
  <c r="D371" i="16"/>
  <c r="E371" i="16"/>
  <c r="E372" i="16" s="1"/>
  <c r="D372" i="16"/>
  <c r="D373" i="16"/>
  <c r="D374" i="16"/>
  <c r="D375" i="16"/>
  <c r="D376" i="16"/>
  <c r="D377" i="16"/>
  <c r="D378" i="16"/>
  <c r="D379" i="16"/>
  <c r="L13" i="2" a="1"/>
  <c r="L13" i="2" s="1"/>
  <c r="L14" i="2" a="1"/>
  <c r="L14" i="2" s="1"/>
  <c r="L15" i="2" a="1"/>
  <c r="L15" i="2" s="1"/>
  <c r="L16" i="2" a="1"/>
  <c r="L16" i="2" s="1"/>
  <c r="L17" i="2" a="1"/>
  <c r="L17" i="2" s="1"/>
  <c r="L18" i="2" a="1"/>
  <c r="L18" i="2" s="1"/>
  <c r="L19" i="2" a="1"/>
  <c r="L19" i="2" s="1"/>
  <c r="L20" i="2" a="1"/>
  <c r="L20" i="2" s="1"/>
  <c r="L21" i="2" a="1"/>
  <c r="L21" i="2" s="1"/>
  <c r="L22" i="2" a="1"/>
  <c r="L22" i="2" s="1"/>
  <c r="L23" i="2" a="1"/>
  <c r="L23" i="2" s="1"/>
  <c r="L24" i="2" a="1"/>
  <c r="L24" i="2" s="1"/>
  <c r="L25" i="2" a="1"/>
  <c r="L25" i="2" s="1"/>
  <c r="L26" i="2" a="1"/>
  <c r="L26" i="2" s="1"/>
  <c r="L27" i="2" a="1"/>
  <c r="L27" i="2" s="1"/>
  <c r="L28" i="2" a="1"/>
  <c r="L28" i="2" s="1"/>
  <c r="L29" i="2" a="1"/>
  <c r="L29" i="2" s="1"/>
  <c r="L30" i="2" a="1"/>
  <c r="L30" i="2" s="1"/>
  <c r="L31" i="2" a="1"/>
  <c r="L31" i="2" s="1"/>
  <c r="L32" i="2" a="1"/>
  <c r="L32" i="2" s="1"/>
  <c r="L33" i="2" a="1"/>
  <c r="L33" i="2" s="1"/>
  <c r="L34" i="2" a="1"/>
  <c r="L34" i="2" s="1"/>
  <c r="L35" i="2" a="1"/>
  <c r="L35" i="2" s="1"/>
  <c r="L36" i="2" a="1"/>
  <c r="L36" i="2" s="1"/>
  <c r="L37" i="2" a="1"/>
  <c r="L37" i="2" s="1"/>
  <c r="L38" i="2" a="1"/>
  <c r="L38" i="2" s="1"/>
  <c r="L39" i="2" a="1"/>
  <c r="L39" i="2" s="1"/>
  <c r="L40" i="2" a="1"/>
  <c r="L40" i="2" s="1"/>
  <c r="L41" i="2" a="1"/>
  <c r="L41" i="2" s="1"/>
  <c r="L42" i="2" a="1"/>
  <c r="L42" i="2" s="1"/>
  <c r="L43" i="2" a="1"/>
  <c r="L43" i="2" s="1"/>
  <c r="L44" i="2" a="1"/>
  <c r="L44" i="2" s="1"/>
  <c r="L45" i="2" a="1"/>
  <c r="L45" i="2" s="1"/>
  <c r="L46" i="2" a="1"/>
  <c r="L46" i="2" s="1"/>
  <c r="L47" i="2" a="1"/>
  <c r="L47" i="2" s="1"/>
  <c r="L48" i="2" a="1"/>
  <c r="L48" i="2" s="1"/>
  <c r="L49" i="2" a="1"/>
  <c r="L49" i="2" s="1"/>
  <c r="L50" i="2" a="1"/>
  <c r="L50" i="2" s="1"/>
  <c r="L51" i="2" a="1"/>
  <c r="L51" i="2" s="1"/>
  <c r="L52" i="2" a="1"/>
  <c r="L52" i="2" s="1"/>
  <c r="L53" i="2" a="1"/>
  <c r="L53" i="2" s="1"/>
  <c r="L54" i="2" a="1"/>
  <c r="L54" i="2" s="1"/>
  <c r="L55" i="2" a="1"/>
  <c r="L55" i="2" s="1"/>
  <c r="L56" i="2" a="1"/>
  <c r="L56" i="2" s="1"/>
  <c r="L57" i="2" a="1"/>
  <c r="L57" i="2" s="1"/>
  <c r="L58" i="2" a="1"/>
  <c r="L58" i="2" s="1"/>
  <c r="L59" i="2" a="1"/>
  <c r="L59" i="2" s="1"/>
  <c r="L60" i="2" a="1"/>
  <c r="L60" i="2" s="1"/>
  <c r="BY7" i="16"/>
  <c r="BY8" i="16"/>
  <c r="BY9" i="16"/>
  <c r="BY10" i="16"/>
  <c r="BZ7" i="16"/>
  <c r="BZ8" i="16"/>
  <c r="BZ9" i="16"/>
  <c r="BZ10" i="16"/>
  <c r="BY11" i="16"/>
  <c r="BZ11" i="16"/>
  <c r="BY12" i="16"/>
  <c r="BZ12" i="16"/>
  <c r="BY13" i="16"/>
  <c r="BZ14" i="16"/>
  <c r="BY14" i="16"/>
  <c r="BY15" i="16"/>
  <c r="BZ16" i="16"/>
  <c r="BY16" i="16"/>
  <c r="BY17" i="16"/>
  <c r="BZ18" i="16"/>
  <c r="BY18" i="16"/>
  <c r="BY19" i="16"/>
  <c r="BZ20" i="16"/>
  <c r="BY20" i="16"/>
  <c r="BY21" i="16"/>
  <c r="BZ22" i="16"/>
  <c r="BY22" i="16"/>
  <c r="BY23" i="16"/>
  <c r="BZ24" i="16"/>
  <c r="BY24" i="16"/>
  <c r="BY25" i="16"/>
  <c r="BZ26" i="16"/>
  <c r="BY26" i="16"/>
  <c r="BY27" i="16"/>
  <c r="BZ28" i="16"/>
  <c r="BY28" i="16"/>
  <c r="BY29" i="16"/>
  <c r="BZ30" i="16"/>
  <c r="BY30" i="16"/>
  <c r="BY31" i="16"/>
  <c r="BZ32" i="16"/>
  <c r="BY32" i="16"/>
  <c r="BY33" i="16"/>
  <c r="BZ33" i="16"/>
  <c r="BY34" i="16"/>
  <c r="BZ34" i="16"/>
  <c r="BY35" i="16"/>
  <c r="BZ35" i="16"/>
  <c r="BY36" i="16"/>
  <c r="BZ36" i="16"/>
  <c r="BY37" i="16"/>
  <c r="BZ37" i="16"/>
  <c r="BY38" i="16"/>
  <c r="BZ38" i="16"/>
  <c r="BY39" i="16"/>
  <c r="BZ39" i="16"/>
  <c r="BY40" i="16"/>
  <c r="BY41" i="16"/>
  <c r="BZ41" i="16"/>
  <c r="BY42" i="16"/>
  <c r="BY43" i="16"/>
  <c r="BZ43" i="16"/>
  <c r="BY44" i="16"/>
  <c r="I14" i="27" a="1"/>
  <c r="I14" i="27" s="1"/>
  <c r="I15" i="27" a="1"/>
  <c r="I15" i="27" s="1"/>
  <c r="I16" i="27" a="1"/>
  <c r="I16" i="27" s="1"/>
  <c r="I17" i="27" a="1"/>
  <c r="I17" i="27" s="1"/>
  <c r="I18" i="27" a="1"/>
  <c r="I18" i="27" s="1"/>
  <c r="I19" i="27" a="1"/>
  <c r="I20" i="27" a="1"/>
  <c r="I20" i="27" s="1"/>
  <c r="I21" i="27" a="1"/>
  <c r="I21" i="27" s="1"/>
  <c r="I22" i="27" a="1"/>
  <c r="I22" i="27" s="1"/>
  <c r="I23" i="27" a="1"/>
  <c r="I23" i="27" s="1"/>
  <c r="I24" i="27" a="1"/>
  <c r="I24" i="27" s="1"/>
  <c r="I25" i="27" a="1"/>
  <c r="I25" i="27" s="1"/>
  <c r="I26" i="27" a="1"/>
  <c r="I26" i="27" s="1"/>
  <c r="I27" i="27" a="1"/>
  <c r="I27" i="27" s="1"/>
  <c r="I28" i="27" a="1"/>
  <c r="I28" i="27" s="1"/>
  <c r="I29" i="27" a="1"/>
  <c r="I29" i="27" s="1"/>
  <c r="I30" i="27" a="1"/>
  <c r="I30" i="27" s="1"/>
  <c r="I31" i="27" a="1"/>
  <c r="I31" i="27" s="1"/>
  <c r="I32" i="27" a="1"/>
  <c r="I32" i="27" s="1"/>
  <c r="I33" i="27" a="1"/>
  <c r="I33" i="27" s="1"/>
  <c r="I34" i="27" a="1"/>
  <c r="I34" i="27" s="1"/>
  <c r="I19" i="27"/>
  <c r="I35" i="27" a="1"/>
  <c r="I35" i="27" s="1"/>
  <c r="I36" i="27" a="1"/>
  <c r="I36" i="27" s="1"/>
  <c r="I37" i="27" a="1"/>
  <c r="I37" i="27" s="1"/>
  <c r="I38" i="27" a="1"/>
  <c r="I38" i="27" s="1"/>
  <c r="I39" i="27" a="1"/>
  <c r="I39" i="27" s="1"/>
  <c r="I40" i="27" a="1"/>
  <c r="I40" i="27" s="1"/>
  <c r="I41" i="27" a="1"/>
  <c r="I41" i="27" s="1"/>
  <c r="I42" i="27" a="1"/>
  <c r="I42" i="27" s="1"/>
  <c r="I43" i="27" a="1"/>
  <c r="I43" i="27" s="1"/>
  <c r="I44" i="27" a="1"/>
  <c r="I44" i="27" s="1"/>
  <c r="I45" i="27" a="1"/>
  <c r="I45" i="27" s="1"/>
  <c r="I46" i="27" a="1"/>
  <c r="I46" i="27" s="1"/>
  <c r="I47" i="27" a="1"/>
  <c r="I47" i="27" s="1"/>
  <c r="I48" i="27" a="1"/>
  <c r="I48" i="27" s="1"/>
  <c r="I49" i="27" a="1"/>
  <c r="I49" i="27" s="1"/>
  <c r="I50" i="27" a="1"/>
  <c r="I50" i="27" s="1"/>
  <c r="I51" i="27" a="1"/>
  <c r="I51" i="27" s="1"/>
  <c r="I52" i="27" a="1"/>
  <c r="I52" i="27" s="1"/>
  <c r="I53" i="27" a="1"/>
  <c r="I53" i="27" s="1"/>
  <c r="I54" i="27" a="1"/>
  <c r="I54" i="27" s="1"/>
  <c r="I55" i="27" a="1"/>
  <c r="I55" i="27"/>
  <c r="I56" i="27" a="1"/>
  <c r="I56" i="27" s="1"/>
  <c r="I57" i="27" a="1"/>
  <c r="I57" i="27" s="1"/>
  <c r="I58" i="27" a="1"/>
  <c r="I58" i="27" s="1"/>
  <c r="I59" i="27" a="1"/>
  <c r="I59" i="27" s="1"/>
  <c r="I60" i="27" a="1"/>
  <c r="I60" i="27" s="1"/>
  <c r="I61" i="27" a="1"/>
  <c r="I61" i="27" s="1"/>
  <c r="H12" i="23" a="1"/>
  <c r="H12" i="23" s="1"/>
  <c r="H13" i="23" a="1"/>
  <c r="H13" i="23" s="1"/>
  <c r="H14" i="23" a="1"/>
  <c r="H14" i="23" s="1"/>
  <c r="H15" i="23" a="1"/>
  <c r="H15" i="23" s="1"/>
  <c r="H16" i="23" a="1"/>
  <c r="H16" i="23" s="1"/>
  <c r="H17" i="23" a="1"/>
  <c r="H17" i="23" s="1"/>
  <c r="H18" i="23" a="1"/>
  <c r="H18" i="23" s="1"/>
  <c r="H19" i="23" a="1"/>
  <c r="H19" i="23" s="1"/>
  <c r="H20" i="23" a="1"/>
  <c r="H20" i="23" s="1"/>
  <c r="H21" i="23" a="1"/>
  <c r="H21" i="23" s="1"/>
  <c r="H22" i="23" a="1"/>
  <c r="H22" i="23" s="1"/>
  <c r="H23" i="23" a="1"/>
  <c r="H23" i="23" s="1"/>
  <c r="H24" i="23" a="1"/>
  <c r="H24" i="23" s="1"/>
  <c r="H25" i="23" a="1"/>
  <c r="H25" i="23" s="1"/>
  <c r="H26" i="23" a="1"/>
  <c r="H26" i="23" s="1"/>
  <c r="H27" i="23" a="1"/>
  <c r="H27" i="23" s="1"/>
  <c r="H28" i="23" a="1"/>
  <c r="H28" i="23" s="1"/>
  <c r="H29" i="23" a="1"/>
  <c r="H29" i="23" s="1"/>
  <c r="H30" i="23" a="1"/>
  <c r="H30" i="23" s="1"/>
  <c r="H31" i="23" a="1"/>
  <c r="H31" i="23" s="1"/>
  <c r="H32" i="23" a="1"/>
  <c r="H32" i="23" s="1"/>
  <c r="H33" i="23" a="1"/>
  <c r="H33" i="23" s="1"/>
  <c r="H34" i="23" a="1"/>
  <c r="H34" i="23" s="1"/>
  <c r="H35" i="23" a="1"/>
  <c r="H35" i="23" s="1"/>
  <c r="H36" i="23" a="1"/>
  <c r="H36" i="23" s="1"/>
  <c r="H37" i="23" a="1"/>
  <c r="H37" i="23" s="1"/>
  <c r="H38" i="23" a="1"/>
  <c r="H38" i="23" s="1"/>
  <c r="H39" i="23" a="1"/>
  <c r="H39" i="23" s="1"/>
  <c r="H40" i="23" a="1"/>
  <c r="H40" i="23" s="1"/>
  <c r="H41" i="23" a="1"/>
  <c r="H41" i="23" s="1"/>
  <c r="H42" i="23" a="1"/>
  <c r="H42" i="23" s="1"/>
  <c r="H43" i="23" a="1"/>
  <c r="H43" i="23" s="1"/>
  <c r="H44" i="23" a="1"/>
  <c r="H44" i="23" s="1"/>
  <c r="H45" i="23" a="1"/>
  <c r="H45" i="23" s="1"/>
  <c r="H46" i="23" a="1"/>
  <c r="H46" i="23" s="1"/>
  <c r="H47" i="23" a="1"/>
  <c r="H47" i="23" s="1"/>
  <c r="H48" i="23" a="1"/>
  <c r="H48" i="23" s="1"/>
  <c r="H49" i="23" a="1"/>
  <c r="H49" i="23" s="1"/>
  <c r="H50" i="23" a="1"/>
  <c r="H50" i="23" s="1"/>
  <c r="H51" i="23" a="1"/>
  <c r="H51" i="23" s="1"/>
  <c r="H52" i="23" a="1"/>
  <c r="H52" i="23" s="1"/>
  <c r="H53" i="23" a="1"/>
  <c r="H53" i="23" s="1"/>
  <c r="H54" i="23" a="1"/>
  <c r="H54" i="23" s="1"/>
  <c r="H55" i="23" a="1"/>
  <c r="H55" i="23" s="1"/>
  <c r="H56" i="23" a="1"/>
  <c r="H56" i="23" s="1"/>
  <c r="H57" i="23" a="1"/>
  <c r="H57" i="23" s="1"/>
  <c r="H58" i="23" a="1"/>
  <c r="H58" i="23" s="1"/>
  <c r="H59" i="23" a="1"/>
  <c r="H59" i="23" s="1"/>
  <c r="AR7" i="16"/>
  <c r="AR8" i="16"/>
  <c r="AR9" i="16"/>
  <c r="AR10" i="16"/>
  <c r="AS7" i="16"/>
  <c r="AS10" i="16"/>
  <c r="AR11" i="16"/>
  <c r="AR12" i="16"/>
  <c r="AR43" i="16"/>
  <c r="AS43" i="16"/>
  <c r="AR44" i="16"/>
  <c r="AR45" i="16"/>
  <c r="AR46" i="16"/>
  <c r="AS46" i="16"/>
  <c r="AR47" i="16"/>
  <c r="AR48" i="16"/>
  <c r="AR49" i="16"/>
  <c r="AS49" i="16"/>
  <c r="AR50" i="16"/>
  <c r="AR51" i="16"/>
  <c r="AR52" i="16"/>
  <c r="AR53" i="16"/>
  <c r="AS53" i="16"/>
  <c r="AR54" i="16"/>
  <c r="AS54" i="16"/>
  <c r="AR55" i="16"/>
  <c r="AR56" i="16"/>
  <c r="AS56" i="16"/>
  <c r="AR57" i="16"/>
  <c r="AS57" i="16"/>
  <c r="AR58" i="16"/>
  <c r="AR59" i="16"/>
  <c r="AS59" i="16"/>
  <c r="AR60" i="16"/>
  <c r="AS60" i="16"/>
  <c r="AR61" i="16"/>
  <c r="AR62" i="16"/>
  <c r="AS62" i="16"/>
  <c r="AR63" i="16"/>
  <c r="AS63" i="16"/>
  <c r="AR64" i="16"/>
  <c r="AR65" i="16"/>
  <c r="AS65" i="16"/>
  <c r="AR66" i="16"/>
  <c r="AS66" i="16"/>
  <c r="AR67" i="16"/>
  <c r="AR68" i="16"/>
  <c r="AS68" i="16"/>
  <c r="AR69" i="16"/>
  <c r="AS69" i="16"/>
  <c r="AR70" i="16"/>
  <c r="AS70" i="16"/>
  <c r="AR71" i="16"/>
  <c r="AS71" i="16"/>
  <c r="AR72" i="16"/>
  <c r="AR73" i="16"/>
  <c r="AS73" i="16"/>
  <c r="AR74" i="16"/>
  <c r="AR75" i="16"/>
  <c r="AR76" i="16"/>
  <c r="AS76" i="16"/>
  <c r="AR77" i="16"/>
  <c r="AR78" i="16"/>
  <c r="AR79" i="16"/>
  <c r="AS79" i="16"/>
  <c r="AR80" i="16"/>
  <c r="AR81" i="16"/>
  <c r="AR82" i="16"/>
  <c r="AS82" i="16"/>
  <c r="AR83" i="16"/>
  <c r="AR84" i="16"/>
  <c r="AR85" i="16"/>
  <c r="AS85" i="16"/>
  <c r="AR86" i="16"/>
  <c r="AR87" i="16"/>
  <c r="G18" i="4" a="1"/>
  <c r="G18" i="4"/>
  <c r="G14" i="4" a="1"/>
  <c r="G14" i="4" s="1"/>
  <c r="G15" i="4" a="1"/>
  <c r="G15" i="4" s="1"/>
  <c r="G16" i="4" a="1"/>
  <c r="G16" i="4" s="1"/>
  <c r="G17" i="4" a="1"/>
  <c r="G17" i="4" s="1"/>
  <c r="G19" i="4" a="1"/>
  <c r="G19" i="4" s="1"/>
  <c r="G20" i="4" a="1"/>
  <c r="G21" i="4" a="1"/>
  <c r="G21" i="4" s="1"/>
  <c r="G22" i="4" a="1"/>
  <c r="G22" i="4" s="1"/>
  <c r="G23" i="4" a="1"/>
  <c r="G23" i="4" s="1"/>
  <c r="G24" i="4" a="1"/>
  <c r="G24" i="4" s="1"/>
  <c r="G25" i="4" a="1"/>
  <c r="G25" i="4" s="1"/>
  <c r="G26" i="4" a="1"/>
  <c r="G26" i="4" s="1"/>
  <c r="G27" i="4" a="1"/>
  <c r="G27" i="4" s="1"/>
  <c r="G28" i="4" a="1"/>
  <c r="G28" i="4" s="1"/>
  <c r="G29" i="4" a="1"/>
  <c r="G29" i="4" s="1"/>
  <c r="G30" i="4" a="1"/>
  <c r="G30" i="4" s="1"/>
  <c r="G31" i="4" a="1"/>
  <c r="G31" i="4" s="1"/>
  <c r="G32" i="4" a="1"/>
  <c r="G32" i="4" s="1"/>
  <c r="G33" i="4" a="1"/>
  <c r="G33" i="4" s="1"/>
  <c r="G34" i="4" a="1"/>
  <c r="G34" i="4"/>
  <c r="G35" i="4" a="1"/>
  <c r="G35" i="4" s="1"/>
  <c r="G36" i="4" a="1"/>
  <c r="G36" i="4"/>
  <c r="G37" i="4" a="1"/>
  <c r="G37" i="4" s="1"/>
  <c r="G38" i="4" a="1"/>
  <c r="G38" i="4" s="1"/>
  <c r="G39" i="4" a="1"/>
  <c r="G39" i="4" s="1"/>
  <c r="G40" i="4" a="1"/>
  <c r="G40" i="4" s="1"/>
  <c r="G41" i="4" a="1"/>
  <c r="G41" i="4" s="1"/>
  <c r="G42" i="4" a="1"/>
  <c r="G42" i="4" s="1"/>
  <c r="G43" i="4" a="1"/>
  <c r="G43" i="4"/>
  <c r="G44" i="4" a="1"/>
  <c r="G45" i="4" a="1"/>
  <c r="G46" i="4" a="1"/>
  <c r="G46" i="4" s="1"/>
  <c r="G47" i="4" a="1"/>
  <c r="G47" i="4" s="1"/>
  <c r="G48" i="4" a="1"/>
  <c r="G49" i="4" a="1"/>
  <c r="G49" i="4"/>
  <c r="G50" i="4" a="1"/>
  <c r="G50" i="4" s="1"/>
  <c r="G51" i="4" a="1"/>
  <c r="G51" i="4"/>
  <c r="G52" i="4" a="1"/>
  <c r="G52" i="4" s="1"/>
  <c r="G53" i="4" a="1"/>
  <c r="G54" i="4" a="1"/>
  <c r="G54" i="4" s="1"/>
  <c r="G55" i="4" a="1"/>
  <c r="G55" i="4"/>
  <c r="G56" i="4" a="1"/>
  <c r="G56" i="4" s="1"/>
  <c r="G57" i="4" a="1"/>
  <c r="G57" i="4"/>
  <c r="G20" i="4"/>
  <c r="G44" i="4"/>
  <c r="G45" i="4"/>
  <c r="G48" i="4"/>
  <c r="G53" i="4"/>
  <c r="B6" i="4"/>
  <c r="G17" i="25" s="1"/>
  <c r="G21" i="3" a="1"/>
  <c r="G21" i="3" s="1"/>
  <c r="G22" i="3" a="1"/>
  <c r="G22" i="3" s="1"/>
  <c r="G17" i="3" a="1"/>
  <c r="G17" i="3" s="1"/>
  <c r="G18" i="3" a="1"/>
  <c r="G18" i="3" s="1"/>
  <c r="G19" i="3" a="1"/>
  <c r="G20" i="3" a="1"/>
  <c r="G20" i="3" s="1"/>
  <c r="G23" i="3" a="1"/>
  <c r="G23" i="3" s="1"/>
  <c r="G24" i="3" a="1"/>
  <c r="G24" i="3" s="1"/>
  <c r="G25" i="3" a="1"/>
  <c r="G25" i="3" s="1"/>
  <c r="G26" i="3" a="1"/>
  <c r="G26" i="3" s="1"/>
  <c r="G27" i="3" a="1"/>
  <c r="G27" i="3" s="1"/>
  <c r="G28" i="3" a="1"/>
  <c r="G28" i="3" s="1"/>
  <c r="G29" i="3" a="1"/>
  <c r="G29" i="3" s="1"/>
  <c r="G61" i="3" a="1"/>
  <c r="G61" i="3" s="1"/>
  <c r="G62" i="3" a="1"/>
  <c r="G62" i="3" s="1"/>
  <c r="G63" i="3" a="1"/>
  <c r="G63" i="3" s="1"/>
  <c r="G64" i="3" a="1"/>
  <c r="G64" i="3" s="1"/>
  <c r="G65" i="3" a="1"/>
  <c r="G65" i="3" s="1"/>
  <c r="G66" i="3" a="1"/>
  <c r="G66" i="3" s="1"/>
  <c r="G67" i="3" a="1"/>
  <c r="G67" i="3" s="1"/>
  <c r="G68" i="3" a="1"/>
  <c r="G68" i="3" s="1"/>
  <c r="G69" i="3" a="1"/>
  <c r="G69" i="3" s="1"/>
  <c r="G70" i="3" a="1"/>
  <c r="G70" i="3" s="1"/>
  <c r="G71" i="3" a="1"/>
  <c r="G71" i="3" s="1"/>
  <c r="G72" i="3" a="1"/>
  <c r="G72" i="3" s="1"/>
  <c r="G73" i="3" a="1"/>
  <c r="G73" i="3" s="1"/>
  <c r="G74" i="3" a="1"/>
  <c r="G74" i="3" s="1"/>
  <c r="G93" i="3" a="1"/>
  <c r="G93" i="3" s="1"/>
  <c r="G94" i="3" a="1"/>
  <c r="G94" i="3" s="1"/>
  <c r="G95" i="3" a="1"/>
  <c r="G95" i="3" s="1"/>
  <c r="G96" i="3" a="1"/>
  <c r="G96" i="3" s="1"/>
  <c r="G97" i="3" a="1"/>
  <c r="G97" i="3" s="1"/>
  <c r="G98" i="3" a="1"/>
  <c r="G98" i="3" s="1"/>
  <c r="G99" i="3" a="1"/>
  <c r="G99" i="3" s="1"/>
  <c r="G100" i="3" a="1"/>
  <c r="G100" i="3" s="1"/>
  <c r="G101" i="3" a="1"/>
  <c r="G101" i="3" s="1"/>
  <c r="G102" i="3" a="1"/>
  <c r="G102" i="3" s="1"/>
  <c r="G103" i="3" a="1"/>
  <c r="G103" i="3" s="1"/>
  <c r="G104" i="3" a="1"/>
  <c r="G104" i="3" s="1"/>
  <c r="G105" i="3" a="1"/>
  <c r="G105" i="3" s="1"/>
  <c r="G106" i="3" a="1"/>
  <c r="G106" i="3" s="1"/>
  <c r="G107" i="3" a="1"/>
  <c r="G107" i="3" s="1"/>
  <c r="G108" i="3" a="1"/>
  <c r="G108" i="3" s="1"/>
  <c r="G19" i="3"/>
  <c r="EJ7" i="16"/>
  <c r="EJ8" i="16"/>
  <c r="EK7" i="16"/>
  <c r="EK8" i="16"/>
  <c r="EJ9" i="16"/>
  <c r="EK9" i="16"/>
  <c r="EJ10" i="16"/>
  <c r="EK10" i="16"/>
  <c r="EJ11" i="16"/>
  <c r="EK11" i="16"/>
  <c r="EJ12" i="16"/>
  <c r="EK12" i="16"/>
  <c r="EJ13" i="16"/>
  <c r="EJ14" i="16"/>
  <c r="EK14" i="16"/>
  <c r="EJ15" i="16"/>
  <c r="EJ16" i="16"/>
  <c r="EK16" i="16"/>
  <c r="EJ17" i="16"/>
  <c r="EJ18" i="16"/>
  <c r="EK18" i="16"/>
  <c r="EJ19" i="16"/>
  <c r="EJ20" i="16"/>
  <c r="EK20" i="16"/>
  <c r="EJ21" i="16"/>
  <c r="EJ22" i="16"/>
  <c r="EK22" i="16"/>
  <c r="EJ23" i="16"/>
  <c r="EJ24" i="16"/>
  <c r="EK24" i="16"/>
  <c r="EJ25" i="16"/>
  <c r="EJ26" i="16"/>
  <c r="EK26" i="16"/>
  <c r="EJ27" i="16"/>
  <c r="EJ28" i="16"/>
  <c r="EK28" i="16"/>
  <c r="EJ31" i="16"/>
  <c r="EJ32" i="16"/>
  <c r="EK32" i="16"/>
  <c r="EJ33" i="16"/>
  <c r="EJ34" i="16"/>
  <c r="EK34" i="16"/>
  <c r="EJ35" i="16"/>
  <c r="EK35" i="16"/>
  <c r="EJ36" i="16"/>
  <c r="EK36" i="16"/>
  <c r="EJ37" i="16"/>
  <c r="EK37" i="16"/>
  <c r="EJ38" i="16"/>
  <c r="EK38" i="16"/>
  <c r="EJ39" i="16"/>
  <c r="EK39" i="16"/>
  <c r="EJ40" i="16"/>
  <c r="EK40" i="16"/>
  <c r="EJ41" i="16"/>
  <c r="EK41" i="16"/>
  <c r="EJ42" i="16"/>
  <c r="EJ43" i="16"/>
  <c r="EK43" i="16"/>
  <c r="EJ44" i="16"/>
  <c r="EJ45" i="16"/>
  <c r="EK45" i="16"/>
  <c r="EJ46" i="16"/>
  <c r="H59" i="10"/>
  <c r="F59" i="10" s="1" a="1"/>
  <c r="F59" i="10" s="1"/>
  <c r="L17" i="3"/>
  <c r="L21" i="3"/>
  <c r="L25" i="3"/>
  <c r="L29" i="3"/>
  <c r="L10" i="27"/>
  <c r="B13" i="28"/>
  <c r="B14" i="28"/>
  <c r="J16" i="17"/>
  <c r="B15" i="28"/>
  <c r="B16" i="28"/>
  <c r="B17" i="28"/>
  <c r="B18" i="28"/>
  <c r="B19" i="28"/>
  <c r="B21" i="28"/>
  <c r="B22" i="28"/>
  <c r="B23" i="28"/>
  <c r="B24" i="28"/>
  <c r="B25" i="28"/>
  <c r="B26" i="28"/>
  <c r="B27" i="28"/>
  <c r="B28" i="28"/>
  <c r="B29" i="28"/>
  <c r="B30" i="28"/>
  <c r="B31" i="28"/>
  <c r="B32" i="28"/>
  <c r="B33" i="28"/>
  <c r="B12" i="28"/>
  <c r="B11" i="28"/>
  <c r="B9" i="28"/>
  <c r="H62" i="19"/>
  <c r="H61" i="19"/>
  <c r="G62" i="19"/>
  <c r="G61" i="19"/>
  <c r="B20" i="28"/>
  <c r="I19" i="25"/>
  <c r="L24" i="3"/>
  <c r="L23" i="3"/>
  <c r="L22" i="3"/>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51" i="10"/>
  <c r="C52" i="10"/>
  <c r="C53" i="10"/>
  <c r="C54" i="10"/>
  <c r="C55" i="10"/>
  <c r="C56" i="10"/>
  <c r="C57" i="10"/>
  <c r="C58" i="10"/>
  <c r="C59" i="10"/>
  <c r="C60" i="10"/>
  <c r="DW23" i="16"/>
  <c r="H33" i="10" s="1"/>
  <c r="F33" i="10" s="1" a="1"/>
  <c r="F33" i="10" s="1"/>
  <c r="H24" i="10"/>
  <c r="F24" i="10" s="1" a="1"/>
  <c r="F24" i="10" s="1"/>
  <c r="DW22" i="16"/>
  <c r="H34" i="10" s="1"/>
  <c r="H25" i="10"/>
  <c r="F25" i="10" s="1" a="1"/>
  <c r="F25" i="10" s="1"/>
  <c r="H23" i="10"/>
  <c r="F23" i="10" s="1" a="1"/>
  <c r="F23" i="10" s="1"/>
  <c r="H55" i="10"/>
  <c r="F55" i="10" s="1" a="1"/>
  <c r="F55" i="10" s="1"/>
  <c r="H19" i="10"/>
  <c r="F19" i="10" s="1" a="1"/>
  <c r="F19" i="10" s="1"/>
  <c r="H20" i="10"/>
  <c r="F20" i="10" s="1" a="1"/>
  <c r="F20" i="10" s="1"/>
  <c r="H60" i="10"/>
  <c r="F60" i="10" s="1" a="1"/>
  <c r="F60" i="10" s="1"/>
  <c r="H28" i="10"/>
  <c r="F28" i="10" s="1" a="1"/>
  <c r="F28" i="10" s="1"/>
  <c r="H36" i="10"/>
  <c r="F36" i="10" s="1" a="1"/>
  <c r="F36" i="10" s="1"/>
  <c r="H30" i="10"/>
  <c r="F30" i="10" s="1" a="1"/>
  <c r="F30" i="10" s="1"/>
  <c r="H13" i="10"/>
  <c r="C39" i="17"/>
  <c r="C40" i="17"/>
  <c r="C41" i="17"/>
  <c r="C42" i="17"/>
  <c r="C45" i="17"/>
  <c r="C46" i="17"/>
  <c r="D7" i="1"/>
  <c r="L26" i="3"/>
  <c r="L19" i="3"/>
  <c r="L20" i="3"/>
  <c r="B9" i="3" s="1"/>
  <c r="L27" i="3"/>
  <c r="L28" i="3"/>
  <c r="L61" i="3"/>
  <c r="L62" i="3"/>
  <c r="L63" i="3"/>
  <c r="L64" i="3"/>
  <c r="L65" i="3"/>
  <c r="L66" i="3"/>
  <c r="L67" i="3"/>
  <c r="L68" i="3"/>
  <c r="L69" i="3"/>
  <c r="L70" i="3"/>
  <c r="L71" i="3"/>
  <c r="L72" i="3"/>
  <c r="L73" i="3"/>
  <c r="L74" i="3"/>
  <c r="L93" i="3"/>
  <c r="L94" i="3"/>
  <c r="L95" i="3"/>
  <c r="L96" i="3"/>
  <c r="L97" i="3"/>
  <c r="L98" i="3"/>
  <c r="L99" i="3"/>
  <c r="L100" i="3"/>
  <c r="L101" i="3"/>
  <c r="L102" i="3"/>
  <c r="L103" i="3"/>
  <c r="L104" i="3"/>
  <c r="L105" i="3"/>
  <c r="L106" i="3"/>
  <c r="L107" i="3"/>
  <c r="L108" i="3"/>
  <c r="AL9" i="16"/>
  <c r="AL10" i="16"/>
  <c r="L26" i="4" s="1"/>
  <c r="M26" i="4" s="1"/>
  <c r="N21" i="22"/>
  <c r="N22" i="22"/>
  <c r="N23" i="22"/>
  <c r="N13" i="22"/>
  <c r="N14" i="22"/>
  <c r="N15" i="22"/>
  <c r="N16" i="22"/>
  <c r="N17" i="22"/>
  <c r="N19" i="22"/>
  <c r="E10" i="22"/>
  <c r="E11" i="22"/>
  <c r="E12" i="22"/>
  <c r="E8" i="22"/>
  <c r="C165" i="39"/>
  <c r="B191" i="39"/>
  <c r="H68" i="39"/>
  <c r="J180" i="17"/>
  <c r="R180" i="17" s="1"/>
  <c r="J186" i="17"/>
  <c r="R186" i="17" s="1"/>
  <c r="J147" i="17"/>
  <c r="R147" i="17" s="1"/>
  <c r="J150" i="17"/>
  <c r="R150" i="17" s="1"/>
  <c r="J114" i="17"/>
  <c r="R114" i="17" s="1"/>
  <c r="J118" i="17"/>
  <c r="R118" i="17" s="1"/>
  <c r="J121" i="17"/>
  <c r="R121" i="17" s="1"/>
  <c r="J82" i="17"/>
  <c r="R82" i="17" s="1"/>
  <c r="J89" i="17"/>
  <c r="R89" i="17" s="1"/>
  <c r="J17" i="17"/>
  <c r="R17" i="17" s="1"/>
  <c r="J19" i="17"/>
  <c r="R19" i="17" s="1"/>
  <c r="J21" i="17"/>
  <c r="R21" i="17" s="1"/>
  <c r="J23" i="17"/>
  <c r="R23" i="17" s="1"/>
  <c r="J25" i="17"/>
  <c r="R25" i="17" s="1"/>
  <c r="J119" i="17"/>
  <c r="R119" i="17" s="1"/>
  <c r="J83" i="17"/>
  <c r="R83" i="17" s="1"/>
  <c r="J178" i="17"/>
  <c r="R178" i="17" s="1"/>
  <c r="J183" i="17"/>
  <c r="R183" i="17" s="1"/>
  <c r="J154" i="17"/>
  <c r="R154" i="17" s="1"/>
  <c r="J122" i="17"/>
  <c r="R122" i="17" s="1"/>
  <c r="J90" i="17"/>
  <c r="R90" i="17" s="1"/>
  <c r="J181" i="17"/>
  <c r="R181" i="17" s="1"/>
  <c r="J184" i="17"/>
  <c r="R184" i="17" s="1"/>
  <c r="J145" i="17"/>
  <c r="R145" i="17" s="1"/>
  <c r="J148" i="17"/>
  <c r="R148" i="17" s="1"/>
  <c r="J152" i="17"/>
  <c r="R152" i="17" s="1"/>
  <c r="J116" i="17"/>
  <c r="R116" i="17" s="1"/>
  <c r="J84" i="17"/>
  <c r="R84" i="17" s="1"/>
  <c r="J87" i="17"/>
  <c r="R87" i="17" s="1"/>
  <c r="J18" i="17"/>
  <c r="R18" i="17" s="1"/>
  <c r="J20" i="17"/>
  <c r="R20" i="17" s="1"/>
  <c r="J22" i="17"/>
  <c r="R22" i="17" s="1"/>
  <c r="J24" i="17"/>
  <c r="R24" i="17" s="1"/>
  <c r="J115" i="17"/>
  <c r="R115" i="17" s="1"/>
  <c r="J86" i="17"/>
  <c r="R86" i="17" s="1"/>
  <c r="J179" i="17"/>
  <c r="R179" i="17" s="1"/>
  <c r="J182" i="17"/>
  <c r="R182" i="17" s="1"/>
  <c r="J185" i="17"/>
  <c r="R185" i="17" s="1"/>
  <c r="J146" i="17"/>
  <c r="R146" i="17" s="1"/>
  <c r="J149" i="17"/>
  <c r="R149" i="17" s="1"/>
  <c r="J153" i="17"/>
  <c r="R153" i="17" s="1"/>
  <c r="J113" i="17"/>
  <c r="R113" i="17" s="1"/>
  <c r="J117" i="17"/>
  <c r="R117" i="17" s="1"/>
  <c r="J120" i="17"/>
  <c r="R120" i="17" s="1"/>
  <c r="J81" i="17"/>
  <c r="R81" i="17" s="1"/>
  <c r="J85" i="17"/>
  <c r="R85" i="17" s="1"/>
  <c r="J88" i="17"/>
  <c r="R88" i="17" s="1"/>
  <c r="J151" i="17"/>
  <c r="R151" i="17" s="1"/>
  <c r="O13" i="2"/>
  <c r="U13" i="2" s="1"/>
  <c r="H65" i="39" s="1"/>
  <c r="J177" i="17"/>
  <c r="R177" i="17" s="1"/>
  <c r="H58" i="10"/>
  <c r="F58" i="10" s="1" a="1"/>
  <c r="F58" i="10" s="1"/>
  <c r="H38" i="10"/>
  <c r="F38" i="10" s="1" a="1"/>
  <c r="F38" i="10" s="1"/>
  <c r="H18" i="10"/>
  <c r="F18" i="10" s="1" a="1"/>
  <c r="F18" i="10" s="1"/>
  <c r="I40" i="39"/>
  <c r="L17" i="4"/>
  <c r="M17" i="4" s="1"/>
  <c r="L21" i="4"/>
  <c r="M21" i="4" s="1"/>
  <c r="L25" i="4"/>
  <c r="M25" i="4" s="1"/>
  <c r="L29" i="4"/>
  <c r="M29" i="4" s="1"/>
  <c r="L33" i="4"/>
  <c r="M33" i="4" s="1"/>
  <c r="L37" i="4"/>
  <c r="M37" i="4" s="1"/>
  <c r="L41" i="4"/>
  <c r="M41" i="4" s="1"/>
  <c r="L45" i="4"/>
  <c r="M45" i="4" s="1"/>
  <c r="L49" i="4"/>
  <c r="M49" i="4" s="1"/>
  <c r="L53" i="4"/>
  <c r="M53" i="4" s="1"/>
  <c r="L57" i="4"/>
  <c r="M57" i="4" s="1"/>
  <c r="H17" i="10"/>
  <c r="F17" i="10" s="1" a="1"/>
  <c r="F17" i="10" s="1"/>
  <c r="F53" i="10" a="1"/>
  <c r="F53" i="10" s="1"/>
  <c r="H39" i="10"/>
  <c r="F39" i="10" s="1" a="1"/>
  <c r="F39" i="10" s="1"/>
  <c r="L20" i="4"/>
  <c r="M20" i="4" s="1"/>
  <c r="L36" i="4"/>
  <c r="M36" i="4" s="1"/>
  <c r="L52" i="4"/>
  <c r="M52" i="4" s="1"/>
  <c r="L16" i="4"/>
  <c r="M16" i="4" s="1"/>
  <c r="L32" i="4"/>
  <c r="M32" i="4" s="1"/>
  <c r="L48" i="4"/>
  <c r="M48" i="4" s="1"/>
  <c r="L28" i="4"/>
  <c r="M28" i="4" s="1"/>
  <c r="L44" i="4"/>
  <c r="M44" i="4" s="1"/>
  <c r="L24" i="4"/>
  <c r="M24" i="4" s="1"/>
  <c r="L40" i="4"/>
  <c r="M40" i="4" s="1"/>
  <c r="L56" i="4"/>
  <c r="M56" i="4" s="1"/>
  <c r="B193" i="39"/>
  <c r="H37" i="10"/>
  <c r="F37" i="10" s="1" a="1"/>
  <c r="F37" i="10" s="1"/>
  <c r="H31" i="10"/>
  <c r="F31" i="10" s="1" a="1"/>
  <c r="F31" i="10" s="1"/>
  <c r="H56" i="10"/>
  <c r="F56" i="10" s="1" a="1"/>
  <c r="F56" i="10" s="1"/>
  <c r="H16" i="10"/>
  <c r="F16" i="10" s="1" a="1"/>
  <c r="F16" i="10" s="1"/>
  <c r="H12" i="10"/>
  <c r="H15" i="10"/>
  <c r="H57" i="10"/>
  <c r="F57" i="10" s="1" a="1"/>
  <c r="F57" i="10" s="1"/>
  <c r="F52" i="10" a="1"/>
  <c r="F52" i="10" s="1"/>
  <c r="H26" i="10"/>
  <c r="F26" i="10" s="1" a="1"/>
  <c r="F26" i="10" s="1"/>
  <c r="F51" i="10" a="1"/>
  <c r="F51" i="10" s="1"/>
  <c r="H35" i="10"/>
  <c r="F35" i="10" s="1" a="1"/>
  <c r="F35" i="10" s="1"/>
  <c r="H14" i="10"/>
  <c r="I14" i="10" s="1"/>
  <c r="H29" i="10"/>
  <c r="F29" i="10" s="1" a="1"/>
  <c r="F29" i="10" s="1"/>
  <c r="F54" i="10" a="1"/>
  <c r="F54" i="10" s="1"/>
  <c r="H40" i="10"/>
  <c r="F40" i="10" s="1" a="1"/>
  <c r="F40" i="10" s="1"/>
  <c r="N106" i="3"/>
  <c r="S106" i="3" s="1" a="1"/>
  <c r="S106" i="3" s="1"/>
  <c r="R106" i="3" s="1"/>
  <c r="N98" i="3"/>
  <c r="S98" i="3" s="1" a="1"/>
  <c r="S98" i="3" s="1"/>
  <c r="R98" i="3" s="1"/>
  <c r="N73" i="3"/>
  <c r="S73" i="3" s="1" a="1"/>
  <c r="S73" i="3" s="1"/>
  <c r="R73" i="3" s="1"/>
  <c r="N26" i="3"/>
  <c r="S26" i="3" s="1" a="1"/>
  <c r="S26" i="3" s="1"/>
  <c r="R26" i="3" s="1"/>
  <c r="N18" i="3"/>
  <c r="S18" i="3" s="1" a="1"/>
  <c r="S18" i="3" s="1"/>
  <c r="R18" i="3" s="1"/>
  <c r="N17" i="3"/>
  <c r="S17" i="3" s="1" a="1"/>
  <c r="S17" i="3" s="1"/>
  <c r="N25" i="3"/>
  <c r="S25" i="3" s="1" a="1"/>
  <c r="S25" i="3" s="1"/>
  <c r="R25" i="3" s="1"/>
  <c r="N64" i="3"/>
  <c r="S64" i="3" s="1" a="1"/>
  <c r="S64" i="3" s="1"/>
  <c r="R64" i="3" s="1"/>
  <c r="N72" i="3"/>
  <c r="S72" i="3" s="1" a="1"/>
  <c r="S72" i="3" s="1"/>
  <c r="R72" i="3" s="1"/>
  <c r="N97" i="3"/>
  <c r="S97" i="3" s="1" a="1"/>
  <c r="S97" i="3" s="1"/>
  <c r="R97" i="3" s="1"/>
  <c r="N19" i="3"/>
  <c r="S19" i="3" s="1" a="1"/>
  <c r="S19" i="3" s="1"/>
  <c r="R19" i="3" s="1"/>
  <c r="N27" i="3"/>
  <c r="S27" i="3" s="1" a="1"/>
  <c r="S27" i="3" s="1"/>
  <c r="R27" i="3" s="1"/>
  <c r="N66" i="3"/>
  <c r="S66" i="3" s="1" a="1"/>
  <c r="S66" i="3" s="1"/>
  <c r="R66" i="3" s="1"/>
  <c r="N74" i="3"/>
  <c r="S74" i="3" s="1" a="1"/>
  <c r="S74" i="3" s="1"/>
  <c r="R74" i="3" s="1"/>
  <c r="N99" i="3"/>
  <c r="S99" i="3" s="1" a="1"/>
  <c r="S99" i="3" s="1"/>
  <c r="R99" i="3" s="1"/>
  <c r="N42" i="39"/>
  <c r="K42" i="39"/>
  <c r="C42" i="39"/>
  <c r="I42" i="39"/>
  <c r="J42" i="39"/>
  <c r="H42" i="39"/>
  <c r="D68" i="39"/>
  <c r="T17" i="7" l="1"/>
  <c r="T13" i="7"/>
  <c r="E93" i="45"/>
  <c r="E41" i="45"/>
  <c r="E25" i="45"/>
  <c r="E17" i="45"/>
  <c r="E9" i="45"/>
  <c r="E98" i="45"/>
  <c r="E90" i="45"/>
  <c r="E82" i="45"/>
  <c r="E74" i="45"/>
  <c r="E66" i="45"/>
  <c r="E81" i="45"/>
  <c r="E61" i="45"/>
  <c r="H68" i="41"/>
  <c r="E45" i="45"/>
  <c r="D16" i="45"/>
  <c r="D66" i="45"/>
  <c r="C64" i="45"/>
  <c r="E64" i="45" s="1"/>
  <c r="D64" i="45"/>
  <c r="A59" i="42"/>
  <c r="C65" i="45"/>
  <c r="E65" i="45" s="1"/>
  <c r="D65" i="45"/>
  <c r="E33" i="45"/>
  <c r="E80" i="41"/>
  <c r="D68" i="42" s="1"/>
  <c r="E112" i="41"/>
  <c r="D100" i="42" s="1"/>
  <c r="E89" i="41"/>
  <c r="D77" i="42" s="1"/>
  <c r="E82" i="41"/>
  <c r="D70" i="42" s="1"/>
  <c r="E75" i="41"/>
  <c r="D63" i="42" s="1"/>
  <c r="E107" i="41"/>
  <c r="D95" i="42" s="1"/>
  <c r="E98" i="41"/>
  <c r="D86" i="42" s="1"/>
  <c r="E69" i="41"/>
  <c r="D57" i="42" s="1"/>
  <c r="E113" i="41"/>
  <c r="D101" i="42" s="1"/>
  <c r="E104" i="41"/>
  <c r="D92" i="42" s="1"/>
  <c r="E74" i="41"/>
  <c r="D62" i="42" s="1"/>
  <c r="E106" i="41"/>
  <c r="D94" i="42" s="1"/>
  <c r="E99" i="41"/>
  <c r="D87" i="42" s="1"/>
  <c r="E70" i="41"/>
  <c r="D58" i="42" s="1"/>
  <c r="E88" i="41"/>
  <c r="D76" i="42" s="1"/>
  <c r="E77" i="41"/>
  <c r="D65" i="42" s="1"/>
  <c r="E97" i="41"/>
  <c r="D85" i="42" s="1"/>
  <c r="E90" i="41"/>
  <c r="D78" i="42" s="1"/>
  <c r="E83" i="41"/>
  <c r="D71" i="42" s="1"/>
  <c r="E96" i="41"/>
  <c r="D84" i="42" s="1"/>
  <c r="E85" i="41"/>
  <c r="D73" i="42" s="1"/>
  <c r="E105" i="41"/>
  <c r="D93" i="42" s="1"/>
  <c r="E91" i="41"/>
  <c r="D79" i="42" s="1"/>
  <c r="E84" i="41"/>
  <c r="D72" i="42" s="1"/>
  <c r="E100" i="41"/>
  <c r="D88" i="42" s="1"/>
  <c r="E73" i="41"/>
  <c r="D61" i="42" s="1"/>
  <c r="E101" i="41"/>
  <c r="D89" i="42" s="1"/>
  <c r="E78" i="41"/>
  <c r="D66" i="42" s="1"/>
  <c r="E94" i="41"/>
  <c r="D82" i="42" s="1"/>
  <c r="E110" i="41"/>
  <c r="D98" i="42" s="1"/>
  <c r="E87" i="41"/>
  <c r="D75" i="42" s="1"/>
  <c r="E103" i="41"/>
  <c r="D91" i="42" s="1"/>
  <c r="E71" i="41"/>
  <c r="D59" i="42" s="1"/>
  <c r="E72" i="41"/>
  <c r="D60" i="42" s="1"/>
  <c r="E76" i="41"/>
  <c r="D64" i="42" s="1"/>
  <c r="E92" i="41"/>
  <c r="D80" i="42" s="1"/>
  <c r="E108" i="41"/>
  <c r="D96" i="42" s="1"/>
  <c r="E81" i="41"/>
  <c r="D69" i="42" s="1"/>
  <c r="E93" i="41"/>
  <c r="D81" i="42" s="1"/>
  <c r="E109" i="41"/>
  <c r="D97" i="42" s="1"/>
  <c r="E86" i="41"/>
  <c r="D74" i="42" s="1"/>
  <c r="E102" i="41"/>
  <c r="D90" i="42" s="1"/>
  <c r="E79" i="41"/>
  <c r="D67" i="42" s="1"/>
  <c r="E95" i="41"/>
  <c r="D83" i="42" s="1"/>
  <c r="E111" i="41"/>
  <c r="D99" i="42" s="1"/>
  <c r="D63" i="45"/>
  <c r="C63" i="45"/>
  <c r="E63" i="45" s="1"/>
  <c r="D57" i="45"/>
  <c r="C57" i="45"/>
  <c r="E57" i="45" s="1"/>
  <c r="D55" i="45"/>
  <c r="C55" i="45"/>
  <c r="E55" i="45" s="1"/>
  <c r="D49" i="45"/>
  <c r="C49" i="45"/>
  <c r="E49" i="45" s="1"/>
  <c r="D47" i="45"/>
  <c r="C47" i="45"/>
  <c r="E47" i="45" s="1"/>
  <c r="D39" i="45"/>
  <c r="C39" i="45"/>
  <c r="E39" i="45" s="1"/>
  <c r="D37" i="45"/>
  <c r="C37" i="45"/>
  <c r="E37" i="45" s="1"/>
  <c r="D31" i="45"/>
  <c r="C31" i="45"/>
  <c r="E31" i="45" s="1"/>
  <c r="D29" i="45"/>
  <c r="C29" i="45"/>
  <c r="E29" i="45" s="1"/>
  <c r="D23" i="45"/>
  <c r="C23" i="45"/>
  <c r="E23" i="45" s="1"/>
  <c r="D21" i="45"/>
  <c r="C21" i="45"/>
  <c r="E21" i="45" s="1"/>
  <c r="D15" i="45"/>
  <c r="C15" i="45"/>
  <c r="E15" i="45" s="1"/>
  <c r="D13" i="45"/>
  <c r="C13" i="45"/>
  <c r="E13" i="45" s="1"/>
  <c r="D104" i="45"/>
  <c r="C104" i="45"/>
  <c r="E104" i="45" s="1"/>
  <c r="D102" i="45"/>
  <c r="C102" i="45"/>
  <c r="E102" i="45" s="1"/>
  <c r="D96" i="45"/>
  <c r="C96" i="45"/>
  <c r="E96" i="45" s="1"/>
  <c r="D94" i="45"/>
  <c r="C94" i="45"/>
  <c r="E94" i="45" s="1"/>
  <c r="D88" i="45"/>
  <c r="C88" i="45"/>
  <c r="E88" i="45" s="1"/>
  <c r="D86" i="45"/>
  <c r="C86" i="45"/>
  <c r="E86" i="45" s="1"/>
  <c r="D80" i="45"/>
  <c r="C80" i="45"/>
  <c r="E80" i="45" s="1"/>
  <c r="D78" i="45"/>
  <c r="C78" i="45"/>
  <c r="E78" i="45" s="1"/>
  <c r="D72" i="45"/>
  <c r="C72" i="45"/>
  <c r="E72" i="45" s="1"/>
  <c r="D70" i="45"/>
  <c r="C70" i="45"/>
  <c r="E70" i="45" s="1"/>
  <c r="D106" i="45"/>
  <c r="C106" i="45"/>
  <c r="E106" i="45" s="1"/>
  <c r="D8" i="45"/>
  <c r="H15" i="41" s="1"/>
  <c r="I15" i="10"/>
  <c r="F15" i="10" s="1" a="1"/>
  <c r="F15" i="10" s="1"/>
  <c r="R17" i="3"/>
  <c r="T18" i="7"/>
  <c r="T14" i="7"/>
  <c r="B63" i="39"/>
  <c r="M53" i="39"/>
  <c r="F173" i="39"/>
  <c r="E173" i="39"/>
  <c r="K18" i="39"/>
  <c r="B53" i="39"/>
  <c r="D58" i="39"/>
  <c r="B173" i="39"/>
  <c r="I26" i="39"/>
  <c r="D177" i="39"/>
  <c r="F177" i="39"/>
  <c r="B177" i="39"/>
  <c r="E177" i="39"/>
  <c r="N61" i="39"/>
  <c r="C26" i="39"/>
  <c r="N26" i="39"/>
  <c r="D8" i="38"/>
  <c r="Q24" i="38" s="1"/>
  <c r="C6" i="38"/>
  <c r="N22" i="38" s="1"/>
  <c r="C3" i="38"/>
  <c r="O198" i="38" s="1"/>
  <c r="P198" i="38" s="1"/>
  <c r="D12" i="38"/>
  <c r="Q28" i="38" s="1"/>
  <c r="G5" i="43" s="1"/>
  <c r="D14" i="38"/>
  <c r="Q30" i="38" s="1"/>
  <c r="D13" i="38"/>
  <c r="Q29" i="38" s="1"/>
  <c r="C13" i="38"/>
  <c r="N29" i="38" s="1"/>
  <c r="C9" i="38"/>
  <c r="N25" i="38" s="1"/>
  <c r="Q39" i="38"/>
  <c r="D11" i="38"/>
  <c r="Q27" i="38" s="1"/>
  <c r="N19" i="38"/>
  <c r="D9" i="38" a="1"/>
  <c r="D9" i="38" s="1"/>
  <c r="Q25" i="38" s="1"/>
  <c r="C4" i="38"/>
  <c r="O44" i="38" s="1"/>
  <c r="P44" i="38" s="1"/>
  <c r="D4" i="38"/>
  <c r="Q20" i="38" s="1"/>
  <c r="C2" i="38"/>
  <c r="O218" i="38" s="1"/>
  <c r="P218" i="38" s="1"/>
  <c r="C12" i="38"/>
  <c r="N28" i="38" s="1"/>
  <c r="C14" i="38"/>
  <c r="N30" i="38" s="1"/>
  <c r="Q54" i="38"/>
  <c r="O42" i="38"/>
  <c r="P42" i="38" s="1"/>
  <c r="D6" i="38" a="1"/>
  <c r="D6" i="38" s="1"/>
  <c r="Q22" i="38" s="1"/>
  <c r="D10" i="38"/>
  <c r="Q26" i="38" s="1"/>
  <c r="D5" i="38" a="1"/>
  <c r="D5" i="38" s="1"/>
  <c r="Q21" i="38" s="1"/>
  <c r="H228" i="38"/>
  <c r="D7" i="38"/>
  <c r="Q23" i="38" s="1"/>
  <c r="C8" i="38"/>
  <c r="O131" i="38" s="1"/>
  <c r="P131" i="38" s="1"/>
  <c r="C5" i="38"/>
  <c r="O133" i="38" s="1"/>
  <c r="P133" i="38" s="1"/>
  <c r="D3" i="38"/>
  <c r="Q19" i="38" s="1"/>
  <c r="C7" i="38"/>
  <c r="O202" i="38" s="1"/>
  <c r="P202" i="38" s="1"/>
  <c r="C10" i="38"/>
  <c r="N26" i="38" s="1"/>
  <c r="D2" i="38"/>
  <c r="Q18" i="38" s="1"/>
  <c r="B5" i="41"/>
  <c r="H79" i="39"/>
  <c r="N29" i="39"/>
  <c r="C41" i="39"/>
  <c r="I41" i="39"/>
  <c r="K73" i="39"/>
  <c r="H17" i="41"/>
  <c r="H30" i="41"/>
  <c r="E6" i="44"/>
  <c r="I13" i="10"/>
  <c r="F13" i="10" s="1" a="1"/>
  <c r="F13" i="10" s="1"/>
  <c r="I12" i="10"/>
  <c r="F12" i="10" s="1" a="1"/>
  <c r="F12" i="10" s="1"/>
  <c r="H13" i="41"/>
  <c r="C7" i="44"/>
  <c r="D7" i="45"/>
  <c r="H14" i="41" s="1"/>
  <c r="H18" i="41"/>
  <c r="H16" i="41"/>
  <c r="E102" i="16"/>
  <c r="C93" i="42"/>
  <c r="C85" i="42"/>
  <c r="C77" i="42"/>
  <c r="C69" i="42"/>
  <c r="C61" i="42"/>
  <c r="C49" i="42"/>
  <c r="C9" i="42"/>
  <c r="C96" i="42"/>
  <c r="C88" i="42"/>
  <c r="C84" i="42"/>
  <c r="C76" i="42"/>
  <c r="C68" i="42"/>
  <c r="C60" i="42"/>
  <c r="C52" i="42"/>
  <c r="C44" i="42"/>
  <c r="C36" i="42"/>
  <c r="C28" i="42"/>
  <c r="C20" i="42"/>
  <c r="C12" i="42"/>
  <c r="C4" i="42"/>
  <c r="C99" i="42"/>
  <c r="C95" i="42"/>
  <c r="C91" i="42"/>
  <c r="C87" i="42"/>
  <c r="C83" i="42"/>
  <c r="C79" i="42"/>
  <c r="C75" i="42"/>
  <c r="C71" i="42"/>
  <c r="C67" i="42"/>
  <c r="C63" i="42"/>
  <c r="C59" i="42"/>
  <c r="C55" i="42"/>
  <c r="C51" i="42"/>
  <c r="C47" i="42"/>
  <c r="C43" i="42"/>
  <c r="C39" i="42"/>
  <c r="C35" i="42"/>
  <c r="C31" i="42"/>
  <c r="C27" i="42"/>
  <c r="C23" i="42"/>
  <c r="C19" i="42"/>
  <c r="C15" i="42"/>
  <c r="C11" i="42"/>
  <c r="C7" i="42"/>
  <c r="C3" i="42"/>
  <c r="C101" i="42"/>
  <c r="C97" i="42"/>
  <c r="C89" i="42"/>
  <c r="C81" i="42"/>
  <c r="C73" i="42"/>
  <c r="C65" i="42"/>
  <c r="C57" i="42"/>
  <c r="C53" i="42"/>
  <c r="C45" i="42"/>
  <c r="C41" i="42"/>
  <c r="C37" i="42"/>
  <c r="C33" i="42"/>
  <c r="C29" i="42"/>
  <c r="C25" i="42"/>
  <c r="C21" i="42"/>
  <c r="C17" i="42"/>
  <c r="C13" i="42"/>
  <c r="C5" i="42"/>
  <c r="C100" i="42"/>
  <c r="C92" i="42"/>
  <c r="C80" i="42"/>
  <c r="C72" i="42"/>
  <c r="C64" i="42"/>
  <c r="C56" i="42"/>
  <c r="C48" i="42"/>
  <c r="C40" i="42"/>
  <c r="C32" i="42"/>
  <c r="C24" i="42"/>
  <c r="C16" i="42"/>
  <c r="C8" i="42"/>
  <c r="C1" i="42"/>
  <c r="C98" i="42"/>
  <c r="C94" i="42"/>
  <c r="C90" i="42"/>
  <c r="C86" i="42"/>
  <c r="C82" i="42"/>
  <c r="C78" i="42"/>
  <c r="C74" i="42"/>
  <c r="C70" i="42"/>
  <c r="C66" i="42"/>
  <c r="C62" i="42"/>
  <c r="C58" i="42"/>
  <c r="C54" i="42"/>
  <c r="C50" i="42"/>
  <c r="C46" i="42"/>
  <c r="C42" i="42"/>
  <c r="C38" i="42"/>
  <c r="C34" i="42"/>
  <c r="C30" i="42"/>
  <c r="C26" i="42"/>
  <c r="C22" i="42"/>
  <c r="C18" i="42"/>
  <c r="C14" i="42"/>
  <c r="C10" i="42"/>
  <c r="C6" i="42"/>
  <c r="C2" i="42"/>
  <c r="H52" i="39"/>
  <c r="F168" i="39"/>
  <c r="D6" i="44"/>
  <c r="H62" i="39"/>
  <c r="N62" i="39"/>
  <c r="T12" i="7"/>
  <c r="H126" i="39" s="1"/>
  <c r="M51" i="39"/>
  <c r="E90" i="16"/>
  <c r="N58" i="29"/>
  <c r="M57" i="29"/>
  <c r="L56" i="29"/>
  <c r="N54" i="29"/>
  <c r="M53" i="29"/>
  <c r="L52" i="29"/>
  <c r="N50" i="29"/>
  <c r="M49" i="29"/>
  <c r="L48" i="29"/>
  <c r="N46" i="29"/>
  <c r="M45" i="29"/>
  <c r="L44" i="29"/>
  <c r="N42" i="29"/>
  <c r="L40" i="29"/>
  <c r="M37" i="29"/>
  <c r="N59" i="29"/>
  <c r="M58" i="29"/>
  <c r="L57" i="29"/>
  <c r="N55" i="29"/>
  <c r="M54" i="29"/>
  <c r="L53" i="29"/>
  <c r="N51" i="29"/>
  <c r="M50" i="29"/>
  <c r="L49" i="29"/>
  <c r="N47" i="29"/>
  <c r="M46" i="29"/>
  <c r="L45" i="29"/>
  <c r="N43" i="29"/>
  <c r="M42" i="29"/>
  <c r="L41" i="29"/>
  <c r="N39" i="29"/>
  <c r="M38" i="29"/>
  <c r="L37" i="29"/>
  <c r="N35" i="29"/>
  <c r="M34" i="29"/>
  <c r="L33" i="29"/>
  <c r="N31" i="29"/>
  <c r="M30" i="29"/>
  <c r="L29" i="29"/>
  <c r="N27" i="29"/>
  <c r="M26" i="29"/>
  <c r="L25" i="29"/>
  <c r="N23" i="29"/>
  <c r="M22" i="29"/>
  <c r="L21" i="29"/>
  <c r="N19" i="29"/>
  <c r="M18" i="29"/>
  <c r="L17" i="29"/>
  <c r="N15" i="29"/>
  <c r="M14" i="29"/>
  <c r="L13" i="29"/>
  <c r="H12" i="29"/>
  <c r="I12" i="29" s="1"/>
  <c r="L22" i="29"/>
  <c r="N20" i="29"/>
  <c r="L18" i="29"/>
  <c r="M15" i="29"/>
  <c r="M59" i="29"/>
  <c r="L58" i="29"/>
  <c r="N56" i="29"/>
  <c r="M55" i="29"/>
  <c r="L54" i="29"/>
  <c r="N52" i="29"/>
  <c r="M51" i="29"/>
  <c r="L50" i="29"/>
  <c r="N48" i="29"/>
  <c r="M47" i="29"/>
  <c r="L46" i="29"/>
  <c r="N44" i="29"/>
  <c r="M43" i="29"/>
  <c r="L42" i="29"/>
  <c r="N40" i="29"/>
  <c r="M39" i="29"/>
  <c r="L38" i="29"/>
  <c r="N36" i="29"/>
  <c r="M35" i="29"/>
  <c r="L34" i="29"/>
  <c r="N32" i="29"/>
  <c r="M31" i="29"/>
  <c r="L30" i="29"/>
  <c r="N28" i="29"/>
  <c r="M27" i="29"/>
  <c r="L26" i="29"/>
  <c r="N24" i="29"/>
  <c r="M23" i="29"/>
  <c r="M19" i="29"/>
  <c r="N16" i="29"/>
  <c r="L59" i="29"/>
  <c r="N57" i="29"/>
  <c r="M56" i="29"/>
  <c r="L55" i="29"/>
  <c r="N53" i="29"/>
  <c r="M52" i="29"/>
  <c r="L51" i="29"/>
  <c r="N49" i="29"/>
  <c r="M48" i="29"/>
  <c r="L47" i="29"/>
  <c r="N45" i="29"/>
  <c r="M44" i="29"/>
  <c r="L43" i="29"/>
  <c r="N41" i="29"/>
  <c r="M40" i="29"/>
  <c r="L39" i="29"/>
  <c r="N37" i="29"/>
  <c r="M36" i="29"/>
  <c r="L35" i="29"/>
  <c r="N33" i="29"/>
  <c r="M32" i="29"/>
  <c r="L31" i="29"/>
  <c r="N29" i="29"/>
  <c r="M28" i="29"/>
  <c r="L27" i="29"/>
  <c r="N25" i="29"/>
  <c r="M24" i="29"/>
  <c r="L23" i="29"/>
  <c r="N21" i="29"/>
  <c r="M20" i="29"/>
  <c r="L19" i="29"/>
  <c r="N17" i="29"/>
  <c r="M16" i="29"/>
  <c r="L15" i="29"/>
  <c r="N13" i="29"/>
  <c r="M12" i="29"/>
  <c r="M41" i="29"/>
  <c r="N38" i="29"/>
  <c r="L36" i="29"/>
  <c r="N34" i="29"/>
  <c r="M29" i="29"/>
  <c r="L24" i="29"/>
  <c r="N18" i="29"/>
  <c r="L14" i="29"/>
  <c r="M33" i="29"/>
  <c r="L28" i="29"/>
  <c r="N22" i="29"/>
  <c r="M17" i="29"/>
  <c r="M13" i="29"/>
  <c r="L32" i="29"/>
  <c r="N26" i="29"/>
  <c r="M21" i="29"/>
  <c r="L16" i="29"/>
  <c r="N12" i="29"/>
  <c r="N30" i="29"/>
  <c r="M25" i="29"/>
  <c r="L20" i="29"/>
  <c r="N14" i="29"/>
  <c r="L12" i="29"/>
  <c r="K14" i="27"/>
  <c r="L14" i="27" s="1"/>
  <c r="B8" i="27" s="1"/>
  <c r="R13" i="2"/>
  <c r="V226" i="17"/>
  <c r="U225" i="17"/>
  <c r="W223" i="17"/>
  <c r="V222" i="17"/>
  <c r="U221" i="17"/>
  <c r="W219" i="17"/>
  <c r="V218" i="17"/>
  <c r="U217" i="17"/>
  <c r="W215" i="17"/>
  <c r="V214" i="17"/>
  <c r="U213" i="17"/>
  <c r="W211" i="17"/>
  <c r="V210" i="17"/>
  <c r="U209" i="17"/>
  <c r="W207" i="17"/>
  <c r="V206" i="17"/>
  <c r="U205" i="17"/>
  <c r="W203" i="17"/>
  <c r="V202" i="17"/>
  <c r="U201" i="17"/>
  <c r="W199" i="17"/>
  <c r="V198" i="17"/>
  <c r="U197" i="17"/>
  <c r="W195" i="17"/>
  <c r="V194" i="17"/>
  <c r="U193" i="17"/>
  <c r="W191" i="17"/>
  <c r="V190" i="17"/>
  <c r="U189" i="17"/>
  <c r="W187" i="17"/>
  <c r="V186" i="17"/>
  <c r="U185" i="17"/>
  <c r="W183" i="17"/>
  <c r="V182" i="17"/>
  <c r="U181" i="17"/>
  <c r="W179" i="17"/>
  <c r="V178" i="17"/>
  <c r="U177" i="17"/>
  <c r="W173" i="17"/>
  <c r="V172" i="17"/>
  <c r="U171" i="17"/>
  <c r="W169" i="17"/>
  <c r="V168" i="17"/>
  <c r="U167" i="17"/>
  <c r="W165" i="17"/>
  <c r="V164" i="17"/>
  <c r="U163" i="17"/>
  <c r="W161" i="17"/>
  <c r="V160" i="17"/>
  <c r="U159" i="17"/>
  <c r="W157" i="17"/>
  <c r="V156" i="17"/>
  <c r="U155" i="17"/>
  <c r="W153" i="17"/>
  <c r="U226" i="17"/>
  <c r="W224" i="17"/>
  <c r="V223" i="17"/>
  <c r="U222" i="17"/>
  <c r="W220" i="17"/>
  <c r="V219" i="17"/>
  <c r="U218" i="17"/>
  <c r="W216" i="17"/>
  <c r="V215" i="17"/>
  <c r="U214" i="17"/>
  <c r="W212" i="17"/>
  <c r="V211" i="17"/>
  <c r="U210" i="17"/>
  <c r="W208" i="17"/>
  <c r="V207" i="17"/>
  <c r="U206" i="17"/>
  <c r="W204" i="17"/>
  <c r="V203" i="17"/>
  <c r="U202" i="17"/>
  <c r="W200" i="17"/>
  <c r="V199" i="17"/>
  <c r="U198" i="17"/>
  <c r="W196" i="17"/>
  <c r="V195" i="17"/>
  <c r="U194" i="17"/>
  <c r="W192" i="17"/>
  <c r="V191" i="17"/>
  <c r="U190" i="17"/>
  <c r="W188" i="17"/>
  <c r="V187" i="17"/>
  <c r="W225" i="17"/>
  <c r="V224" i="17"/>
  <c r="U223" i="17"/>
  <c r="W221" i="17"/>
  <c r="V220" i="17"/>
  <c r="U219" i="17"/>
  <c r="W217" i="17"/>
  <c r="V216" i="17"/>
  <c r="U215" i="17"/>
  <c r="W213" i="17"/>
  <c r="V212" i="17"/>
  <c r="U211" i="17"/>
  <c r="W209" i="17"/>
  <c r="V208" i="17"/>
  <c r="U207" i="17"/>
  <c r="W205" i="17"/>
  <c r="V204" i="17"/>
  <c r="U203" i="17"/>
  <c r="W201" i="17"/>
  <c r="V200" i="17"/>
  <c r="U199" i="17"/>
  <c r="W197" i="17"/>
  <c r="V196" i="17"/>
  <c r="U195" i="17"/>
  <c r="W193" i="17"/>
  <c r="V192" i="17"/>
  <c r="U191" i="17"/>
  <c r="W189" i="17"/>
  <c r="V188" i="17"/>
  <c r="U187" i="17"/>
  <c r="W185" i="17"/>
  <c r="V184" i="17"/>
  <c r="U183" i="17"/>
  <c r="W181" i="17"/>
  <c r="V180" i="17"/>
  <c r="U179" i="17"/>
  <c r="W177" i="17"/>
  <c r="V174" i="17"/>
  <c r="U173" i="17"/>
  <c r="W171" i="17"/>
  <c r="V170" i="17"/>
  <c r="U169" i="17"/>
  <c r="W167" i="17"/>
  <c r="V166" i="17"/>
  <c r="U165" i="17"/>
  <c r="W163" i="17"/>
  <c r="V162" i="17"/>
  <c r="U161" i="17"/>
  <c r="W159" i="17"/>
  <c r="V158" i="17"/>
  <c r="U157" i="17"/>
  <c r="W155" i="17"/>
  <c r="V154" i="17"/>
  <c r="W222" i="17"/>
  <c r="V217" i="17"/>
  <c r="U212" i="17"/>
  <c r="W206" i="17"/>
  <c r="V201" i="17"/>
  <c r="U196" i="17"/>
  <c r="W190" i="17"/>
  <c r="U186" i="17"/>
  <c r="V183" i="17"/>
  <c r="W180" i="17"/>
  <c r="U178" i="17"/>
  <c r="V173" i="17"/>
  <c r="W170" i="17"/>
  <c r="U168" i="17"/>
  <c r="V165" i="17"/>
  <c r="W162" i="17"/>
  <c r="U160" i="17"/>
  <c r="V157" i="17"/>
  <c r="W154" i="17"/>
  <c r="W152" i="17"/>
  <c r="V151" i="17"/>
  <c r="U150" i="17"/>
  <c r="W148" i="17"/>
  <c r="V147" i="17"/>
  <c r="U146" i="17"/>
  <c r="W142" i="17"/>
  <c r="V141" i="17"/>
  <c r="U140" i="17"/>
  <c r="W138" i="17"/>
  <c r="V137" i="17"/>
  <c r="U136" i="17"/>
  <c r="W134" i="17"/>
  <c r="V133" i="17"/>
  <c r="U132" i="17"/>
  <c r="W130" i="17"/>
  <c r="V129" i="17"/>
  <c r="U128" i="17"/>
  <c r="W126" i="17"/>
  <c r="V125" i="17"/>
  <c r="U124" i="17"/>
  <c r="W122" i="17"/>
  <c r="V121" i="17"/>
  <c r="U120" i="17"/>
  <c r="W118" i="17"/>
  <c r="V117" i="17"/>
  <c r="U116" i="17"/>
  <c r="W110" i="17"/>
  <c r="V109" i="17"/>
  <c r="U108" i="17"/>
  <c r="W106" i="17"/>
  <c r="V105" i="17"/>
  <c r="U104" i="17"/>
  <c r="W102" i="17"/>
  <c r="V101" i="17"/>
  <c r="U100" i="17"/>
  <c r="W98" i="17"/>
  <c r="V97" i="17"/>
  <c r="U96" i="17"/>
  <c r="W94" i="17"/>
  <c r="V93" i="17"/>
  <c r="U92" i="17"/>
  <c r="W90" i="17"/>
  <c r="V89" i="17"/>
  <c r="U88" i="17"/>
  <c r="W86" i="17"/>
  <c r="V85" i="17"/>
  <c r="U84" i="17"/>
  <c r="W82" i="17"/>
  <c r="V81" i="17"/>
  <c r="X60" i="2"/>
  <c r="W59" i="2"/>
  <c r="Y57" i="2"/>
  <c r="X56" i="2"/>
  <c r="W55" i="2"/>
  <c r="Y53" i="2"/>
  <c r="X52" i="2"/>
  <c r="W51" i="2"/>
  <c r="Y49" i="2"/>
  <c r="X48" i="2"/>
  <c r="W226" i="17"/>
  <c r="V221" i="17"/>
  <c r="U216" i="17"/>
  <c r="W210" i="17"/>
  <c r="V205" i="17"/>
  <c r="U200" i="17"/>
  <c r="W194" i="17"/>
  <c r="V189" i="17"/>
  <c r="V185" i="17"/>
  <c r="W182" i="17"/>
  <c r="U180" i="17"/>
  <c r="V177" i="17"/>
  <c r="W172" i="17"/>
  <c r="U170" i="17"/>
  <c r="V167" i="17"/>
  <c r="W164" i="17"/>
  <c r="U162" i="17"/>
  <c r="V159" i="17"/>
  <c r="W156" i="17"/>
  <c r="U154" i="17"/>
  <c r="V152" i="17"/>
  <c r="U151" i="17"/>
  <c r="W149" i="17"/>
  <c r="V148" i="17"/>
  <c r="U147" i="17"/>
  <c r="W145" i="17"/>
  <c r="V142" i="17"/>
  <c r="U141" i="17"/>
  <c r="W139" i="17"/>
  <c r="V138" i="17"/>
  <c r="U137" i="17"/>
  <c r="W135" i="17"/>
  <c r="V134" i="17"/>
  <c r="U133" i="17"/>
  <c r="W131" i="17"/>
  <c r="V130" i="17"/>
  <c r="U129" i="17"/>
  <c r="W127" i="17"/>
  <c r="V126" i="17"/>
  <c r="U125" i="17"/>
  <c r="W123" i="17"/>
  <c r="V122" i="17"/>
  <c r="U121" i="17"/>
  <c r="W119" i="17"/>
  <c r="V225" i="17"/>
  <c r="U220" i="17"/>
  <c r="W214" i="17"/>
  <c r="V209" i="17"/>
  <c r="U204" i="17"/>
  <c r="W198" i="17"/>
  <c r="V193" i="17"/>
  <c r="U188" i="17"/>
  <c r="W184" i="17"/>
  <c r="U182" i="17"/>
  <c r="V179" i="17"/>
  <c r="W174" i="17"/>
  <c r="U172" i="17"/>
  <c r="V169" i="17"/>
  <c r="W166" i="17"/>
  <c r="U164" i="17"/>
  <c r="V161" i="17"/>
  <c r="W158" i="17"/>
  <c r="U156" i="17"/>
  <c r="V153" i="17"/>
  <c r="U152" i="17"/>
  <c r="W150" i="17"/>
  <c r="V149" i="17"/>
  <c r="U148" i="17"/>
  <c r="W146" i="17"/>
  <c r="V145" i="17"/>
  <c r="U142" i="17"/>
  <c r="W140" i="17"/>
  <c r="V139" i="17"/>
  <c r="U138" i="17"/>
  <c r="W136" i="17"/>
  <c r="V135" i="17"/>
  <c r="U134" i="17"/>
  <c r="W132" i="17"/>
  <c r="V131" i="17"/>
  <c r="U130" i="17"/>
  <c r="W128" i="17"/>
  <c r="V127" i="17"/>
  <c r="U126" i="17"/>
  <c r="W124" i="17"/>
  <c r="V123" i="17"/>
  <c r="U122" i="17"/>
  <c r="W120" i="17"/>
  <c r="V119" i="17"/>
  <c r="U118" i="17"/>
  <c r="W116" i="17"/>
  <c r="V115" i="17"/>
  <c r="U110" i="17"/>
  <c r="W108" i="17"/>
  <c r="V107" i="17"/>
  <c r="U106" i="17"/>
  <c r="W104" i="17"/>
  <c r="V103" i="17"/>
  <c r="U102" i="17"/>
  <c r="W100" i="17"/>
  <c r="V99" i="17"/>
  <c r="U98" i="17"/>
  <c r="W96" i="17"/>
  <c r="V95" i="17"/>
  <c r="U94" i="17"/>
  <c r="W92" i="17"/>
  <c r="V91" i="17"/>
  <c r="U90" i="17"/>
  <c r="W88" i="17"/>
  <c r="V87" i="17"/>
  <c r="U86" i="17"/>
  <c r="W84" i="17"/>
  <c r="V83" i="17"/>
  <c r="U82" i="17"/>
  <c r="N81" i="17"/>
  <c r="O81" i="17" s="1"/>
  <c r="C88" i="39" s="1"/>
  <c r="Y59" i="2"/>
  <c r="X58" i="2"/>
  <c r="W57" i="2"/>
  <c r="Y55" i="2"/>
  <c r="X54" i="2"/>
  <c r="W53" i="2"/>
  <c r="Y51" i="2"/>
  <c r="X50" i="2"/>
  <c r="W49" i="2"/>
  <c r="Y47" i="2"/>
  <c r="W218" i="17"/>
  <c r="V197" i="17"/>
  <c r="V181" i="17"/>
  <c r="W168" i="17"/>
  <c r="U158" i="17"/>
  <c r="V150" i="17"/>
  <c r="U145" i="17"/>
  <c r="W137" i="17"/>
  <c r="V132" i="17"/>
  <c r="U127" i="17"/>
  <c r="W121" i="17"/>
  <c r="W117" i="17"/>
  <c r="U115" i="17"/>
  <c r="V108" i="17"/>
  <c r="W105" i="17"/>
  <c r="U103" i="17"/>
  <c r="V100" i="17"/>
  <c r="W97" i="17"/>
  <c r="U95" i="17"/>
  <c r="V92" i="17"/>
  <c r="W89" i="17"/>
  <c r="U87" i="17"/>
  <c r="V84" i="17"/>
  <c r="W81" i="17"/>
  <c r="X59" i="2"/>
  <c r="Y56" i="2"/>
  <c r="W54" i="2"/>
  <c r="X51" i="2"/>
  <c r="Y48" i="2"/>
  <c r="Y46" i="2"/>
  <c r="X45" i="2"/>
  <c r="W44" i="2"/>
  <c r="Y42" i="2"/>
  <c r="X41" i="2"/>
  <c r="W40" i="2"/>
  <c r="Y38" i="2"/>
  <c r="X37" i="2"/>
  <c r="W36" i="2"/>
  <c r="Y34" i="2"/>
  <c r="X33" i="2"/>
  <c r="W32" i="2"/>
  <c r="Y30" i="2"/>
  <c r="X29" i="2"/>
  <c r="W28" i="2"/>
  <c r="Y26" i="2"/>
  <c r="X25" i="2"/>
  <c r="W24" i="2"/>
  <c r="Y22" i="2"/>
  <c r="X21" i="2"/>
  <c r="W20" i="2"/>
  <c r="Y18" i="2"/>
  <c r="X17" i="2"/>
  <c r="W16" i="2"/>
  <c r="Y13" i="2"/>
  <c r="X14" i="2"/>
  <c r="V213" i="17"/>
  <c r="U192" i="17"/>
  <c r="W178" i="17"/>
  <c r="U166" i="17"/>
  <c r="V155" i="17"/>
  <c r="U149" i="17"/>
  <c r="W141" i="17"/>
  <c r="V136" i="17"/>
  <c r="U131" i="17"/>
  <c r="W125" i="17"/>
  <c r="V120" i="17"/>
  <c r="U117" i="17"/>
  <c r="V110" i="17"/>
  <c r="W107" i="17"/>
  <c r="U105" i="17"/>
  <c r="V102" i="17"/>
  <c r="W99" i="17"/>
  <c r="U97" i="17"/>
  <c r="V94" i="17"/>
  <c r="W91" i="17"/>
  <c r="U89" i="17"/>
  <c r="V86" i="17"/>
  <c r="W83" i="17"/>
  <c r="U81" i="17"/>
  <c r="Y58" i="2"/>
  <c r="W56" i="2"/>
  <c r="X53" i="2"/>
  <c r="Y50" i="2"/>
  <c r="W48" i="2"/>
  <c r="X46" i="2"/>
  <c r="W45" i="2"/>
  <c r="Y43" i="2"/>
  <c r="X42" i="2"/>
  <c r="W41" i="2"/>
  <c r="Y39" i="2"/>
  <c r="X38" i="2"/>
  <c r="W37" i="2"/>
  <c r="Y35" i="2"/>
  <c r="X34" i="2"/>
  <c r="W33" i="2"/>
  <c r="Y31" i="2"/>
  <c r="X30" i="2"/>
  <c r="W29" i="2"/>
  <c r="Y27" i="2"/>
  <c r="X26" i="2"/>
  <c r="W25" i="2"/>
  <c r="Y23" i="2"/>
  <c r="X22" i="2"/>
  <c r="W21" i="2"/>
  <c r="Y19" i="2"/>
  <c r="X18" i="2"/>
  <c r="W17" i="2"/>
  <c r="Y15" i="2"/>
  <c r="X13" i="2"/>
  <c r="W14" i="2"/>
  <c r="U208" i="17"/>
  <c r="W186" i="17"/>
  <c r="U174" i="17"/>
  <c r="V163" i="17"/>
  <c r="U153" i="17"/>
  <c r="W147" i="17"/>
  <c r="V140" i="17"/>
  <c r="U135" i="17"/>
  <c r="W129" i="17"/>
  <c r="V124" i="17"/>
  <c r="U119" i="17"/>
  <c r="V116" i="17"/>
  <c r="W109" i="17"/>
  <c r="U107" i="17"/>
  <c r="V104" i="17"/>
  <c r="W101" i="17"/>
  <c r="U99" i="17"/>
  <c r="V96" i="17"/>
  <c r="W93" i="17"/>
  <c r="U91" i="17"/>
  <c r="W202" i="17"/>
  <c r="W151" i="17"/>
  <c r="V128" i="17"/>
  <c r="U109" i="17"/>
  <c r="V98" i="17"/>
  <c r="V88" i="17"/>
  <c r="U83" i="17"/>
  <c r="W58" i="2"/>
  <c r="Y52" i="2"/>
  <c r="X47" i="2"/>
  <c r="Y44" i="2"/>
  <c r="W42" i="2"/>
  <c r="X39" i="2"/>
  <c r="Y36" i="2"/>
  <c r="W34" i="2"/>
  <c r="X31" i="2"/>
  <c r="Y28" i="2"/>
  <c r="W26" i="2"/>
  <c r="X23" i="2"/>
  <c r="Y20" i="2"/>
  <c r="W18" i="2"/>
  <c r="X15" i="2"/>
  <c r="U184" i="17"/>
  <c r="V146" i="17"/>
  <c r="U123" i="17"/>
  <c r="V106" i="17"/>
  <c r="W95" i="17"/>
  <c r="W87" i="17"/>
  <c r="V82" i="17"/>
  <c r="X57" i="2"/>
  <c r="W52" i="2"/>
  <c r="W47" i="2"/>
  <c r="X44" i="2"/>
  <c r="Y41" i="2"/>
  <c r="W39" i="2"/>
  <c r="X36" i="2"/>
  <c r="Y33" i="2"/>
  <c r="W31" i="2"/>
  <c r="X28" i="2"/>
  <c r="Y25" i="2"/>
  <c r="W23" i="2"/>
  <c r="X20" i="2"/>
  <c r="Y17" i="2"/>
  <c r="W15" i="2"/>
  <c r="V171" i="17"/>
  <c r="U139" i="17"/>
  <c r="V118" i="17"/>
  <c r="W103" i="17"/>
  <c r="U93" i="17"/>
  <c r="W85" i="17"/>
  <c r="Y60" i="2"/>
  <c r="X55" i="2"/>
  <c r="W50" i="2"/>
  <c r="W46" i="2"/>
  <c r="X43" i="2"/>
  <c r="Y40" i="2"/>
  <c r="W38" i="2"/>
  <c r="X35" i="2"/>
  <c r="Y32" i="2"/>
  <c r="W30" i="2"/>
  <c r="X27" i="2"/>
  <c r="Y24" i="2"/>
  <c r="W22" i="2"/>
  <c r="X19" i="2"/>
  <c r="Y16" i="2"/>
  <c r="W13" i="2"/>
  <c r="U224" i="17"/>
  <c r="W160" i="17"/>
  <c r="W133" i="17"/>
  <c r="W115" i="17"/>
  <c r="U101" i="17"/>
  <c r="V90" i="17"/>
  <c r="U85" i="17"/>
  <c r="W60" i="2"/>
  <c r="Y54" i="2"/>
  <c r="X49" i="2"/>
  <c r="Y45" i="2"/>
  <c r="W43" i="2"/>
  <c r="X40" i="2"/>
  <c r="Y37" i="2"/>
  <c r="W35" i="2"/>
  <c r="X32" i="2"/>
  <c r="Y29" i="2"/>
  <c r="W27" i="2"/>
  <c r="X24" i="2"/>
  <c r="Y21" i="2"/>
  <c r="W19" i="2"/>
  <c r="X16" i="2"/>
  <c r="Y14" i="2"/>
  <c r="O59" i="23"/>
  <c r="N58" i="23"/>
  <c r="P56" i="23"/>
  <c r="O55" i="23"/>
  <c r="N54" i="23"/>
  <c r="P52" i="23"/>
  <c r="O51" i="23"/>
  <c r="N50" i="23"/>
  <c r="P48" i="23"/>
  <c r="O47" i="23"/>
  <c r="N46" i="23"/>
  <c r="P44" i="23"/>
  <c r="O43" i="23"/>
  <c r="N42" i="23"/>
  <c r="P40" i="23"/>
  <c r="O39" i="23"/>
  <c r="N38" i="23"/>
  <c r="P36" i="23"/>
  <c r="O35" i="23"/>
  <c r="N34" i="23"/>
  <c r="P32" i="23"/>
  <c r="O31" i="23"/>
  <c r="N30" i="23"/>
  <c r="P28" i="23"/>
  <c r="O27" i="23"/>
  <c r="N26" i="23"/>
  <c r="P24" i="23"/>
  <c r="O23" i="23"/>
  <c r="N22" i="23"/>
  <c r="N59" i="23"/>
  <c r="P57" i="23"/>
  <c r="O56" i="23"/>
  <c r="N55" i="23"/>
  <c r="P53" i="23"/>
  <c r="O52" i="23"/>
  <c r="N51" i="23"/>
  <c r="P49" i="23"/>
  <c r="O48" i="23"/>
  <c r="N47" i="23"/>
  <c r="P45" i="23"/>
  <c r="O44" i="23"/>
  <c r="N43" i="23"/>
  <c r="P41" i="23"/>
  <c r="O40" i="23"/>
  <c r="N39" i="23"/>
  <c r="P37" i="23"/>
  <c r="O36" i="23"/>
  <c r="N35" i="23"/>
  <c r="P33" i="23"/>
  <c r="O32" i="23"/>
  <c r="N31" i="23"/>
  <c r="P29" i="23"/>
  <c r="O28" i="23"/>
  <c r="N27" i="23"/>
  <c r="P25" i="23"/>
  <c r="O24" i="23"/>
  <c r="N23" i="23"/>
  <c r="O57" i="23"/>
  <c r="P54" i="23"/>
  <c r="N52" i="23"/>
  <c r="O49" i="23"/>
  <c r="P46" i="23"/>
  <c r="N44" i="23"/>
  <c r="O41" i="23"/>
  <c r="P38" i="23"/>
  <c r="N36" i="23"/>
  <c r="O33" i="23"/>
  <c r="P30" i="23"/>
  <c r="N28" i="23"/>
  <c r="O25" i="23"/>
  <c r="P22" i="23"/>
  <c r="N21" i="23"/>
  <c r="P19" i="23"/>
  <c r="O18" i="23"/>
  <c r="N17" i="23"/>
  <c r="P15" i="23"/>
  <c r="O14" i="23"/>
  <c r="N13" i="23"/>
  <c r="J12" i="23"/>
  <c r="K12" i="23" s="1"/>
  <c r="J16" i="39" s="1"/>
  <c r="P59" i="23"/>
  <c r="N57" i="23"/>
  <c r="O54" i="23"/>
  <c r="P51" i="23"/>
  <c r="N49" i="23"/>
  <c r="O46" i="23"/>
  <c r="P43" i="23"/>
  <c r="N41" i="23"/>
  <c r="O38" i="23"/>
  <c r="P35" i="23"/>
  <c r="N33" i="23"/>
  <c r="O30" i="23"/>
  <c r="P27" i="23"/>
  <c r="N25" i="23"/>
  <c r="O22" i="23"/>
  <c r="P20" i="23"/>
  <c r="O19" i="23"/>
  <c r="N18" i="23"/>
  <c r="P16" i="23"/>
  <c r="O15" i="23"/>
  <c r="N14" i="23"/>
  <c r="P12" i="23"/>
  <c r="P58" i="23"/>
  <c r="N56" i="23"/>
  <c r="O53" i="23"/>
  <c r="P50" i="23"/>
  <c r="N48" i="23"/>
  <c r="O45" i="23"/>
  <c r="P42" i="23"/>
  <c r="N40" i="23"/>
  <c r="O37" i="23"/>
  <c r="P34" i="23"/>
  <c r="N32" i="23"/>
  <c r="O29" i="23"/>
  <c r="P26" i="23"/>
  <c r="N24" i="23"/>
  <c r="P21" i="23"/>
  <c r="O20" i="23"/>
  <c r="N19" i="23"/>
  <c r="P17" i="23"/>
  <c r="O16" i="23"/>
  <c r="N15" i="23"/>
  <c r="P13" i="23"/>
  <c r="O12" i="23"/>
  <c r="O58" i="23"/>
  <c r="P55" i="23"/>
  <c r="N53" i="23"/>
  <c r="O50" i="23"/>
  <c r="P47" i="23"/>
  <c r="N45" i="23"/>
  <c r="O42" i="23"/>
  <c r="P39" i="23"/>
  <c r="N37" i="23"/>
  <c r="O34" i="23"/>
  <c r="P31" i="23"/>
  <c r="N29" i="23"/>
  <c r="O26" i="23"/>
  <c r="P23" i="23"/>
  <c r="O21" i="23"/>
  <c r="N20" i="23"/>
  <c r="P18" i="23"/>
  <c r="O17" i="23"/>
  <c r="N16" i="23"/>
  <c r="P14" i="23"/>
  <c r="O13" i="23"/>
  <c r="N12" i="23"/>
  <c r="O59" i="38"/>
  <c r="P59" i="38" s="1"/>
  <c r="B163" i="39"/>
  <c r="K12" i="39"/>
  <c r="I12" i="39"/>
  <c r="H12" i="39"/>
  <c r="C163" i="39"/>
  <c r="L13" i="31"/>
  <c r="C28" i="39"/>
  <c r="B179" i="39"/>
  <c r="H16" i="39"/>
  <c r="M64" i="39"/>
  <c r="D179" i="39"/>
  <c r="B183" i="39"/>
  <c r="E68" i="39"/>
  <c r="N60" i="39"/>
  <c r="E179" i="39"/>
  <c r="F179" i="39"/>
  <c r="D59" i="39"/>
  <c r="B21" i="39"/>
  <c r="B40" i="39"/>
  <c r="P13" i="7"/>
  <c r="J13" i="7" s="1" a="1"/>
  <c r="J13" i="7" s="1"/>
  <c r="P19" i="7"/>
  <c r="J19" i="7" s="1" a="1"/>
  <c r="J19" i="7" s="1"/>
  <c r="P15" i="7"/>
  <c r="J15" i="7" s="1" a="1"/>
  <c r="J15" i="7" s="1"/>
  <c r="T19" i="7"/>
  <c r="T15" i="7"/>
  <c r="D79" i="39"/>
  <c r="C193" i="39"/>
  <c r="H31" i="39"/>
  <c r="B39" i="39"/>
  <c r="F63" i="39"/>
  <c r="D71" i="39"/>
  <c r="F182" i="39"/>
  <c r="E182" i="39"/>
  <c r="H63" i="39"/>
  <c r="E75" i="39"/>
  <c r="D186" i="39"/>
  <c r="E71" i="39"/>
  <c r="B27" i="39"/>
  <c r="B190" i="39"/>
  <c r="N58" i="39"/>
  <c r="M58" i="39"/>
  <c r="E58" i="39"/>
  <c r="C58" i="39"/>
  <c r="D56" i="39"/>
  <c r="F165" i="39"/>
  <c r="J31" i="39"/>
  <c r="N31" i="39"/>
  <c r="C182" i="39"/>
  <c r="M63" i="39"/>
  <c r="F67" i="39"/>
  <c r="F71" i="39"/>
  <c r="N63" i="39"/>
  <c r="N67" i="39"/>
  <c r="B71" i="39"/>
  <c r="N27" i="39"/>
  <c r="D190" i="39"/>
  <c r="F178" i="39"/>
  <c r="K59" i="39"/>
  <c r="K75" i="39"/>
  <c r="H35" i="39"/>
  <c r="B35" i="39"/>
  <c r="B28" i="39"/>
  <c r="B23" i="39"/>
  <c r="B78" i="39"/>
  <c r="D70" i="39"/>
  <c r="E79" i="39"/>
  <c r="I31" i="39"/>
  <c r="K31" i="39"/>
  <c r="M79" i="39"/>
  <c r="M71" i="39"/>
  <c r="N75" i="39"/>
  <c r="N59" i="39"/>
  <c r="E63" i="39"/>
  <c r="B67" i="39"/>
  <c r="C35" i="39"/>
  <c r="I27" i="39"/>
  <c r="J27" i="39"/>
  <c r="H71" i="39"/>
  <c r="C63" i="39"/>
  <c r="K71" i="39"/>
  <c r="B64" i="39"/>
  <c r="B182" i="39"/>
  <c r="H39" i="39"/>
  <c r="J39" i="39"/>
  <c r="B75" i="39"/>
  <c r="M59" i="39"/>
  <c r="M75" i="39"/>
  <c r="E59" i="39"/>
  <c r="N23" i="39"/>
  <c r="C27" i="39"/>
  <c r="H59" i="39"/>
  <c r="B186" i="39"/>
  <c r="F174" i="39"/>
  <c r="K39" i="39"/>
  <c r="Q8" i="25"/>
  <c r="Q18" i="25"/>
  <c r="B25" i="39"/>
  <c r="B32" i="39"/>
  <c r="B31" i="39"/>
  <c r="B85" i="39"/>
  <c r="G85" i="39"/>
  <c r="E123" i="39"/>
  <c r="D123" i="39"/>
  <c r="G123" i="39"/>
  <c r="F123" i="39"/>
  <c r="E125" i="39"/>
  <c r="D125" i="39"/>
  <c r="G125" i="39"/>
  <c r="B125" i="39"/>
  <c r="F125" i="39"/>
  <c r="E163" i="39"/>
  <c r="G124" i="39"/>
  <c r="B124" i="39"/>
  <c r="F124" i="39"/>
  <c r="E124" i="39"/>
  <c r="D124" i="39"/>
  <c r="B12" i="39"/>
  <c r="K48" i="39"/>
  <c r="G48" i="39"/>
  <c r="F86" i="39"/>
  <c r="B86" i="39"/>
  <c r="G86" i="39"/>
  <c r="K47" i="39"/>
  <c r="G47" i="39"/>
  <c r="K49" i="39"/>
  <c r="G49" i="39"/>
  <c r="G87" i="39"/>
  <c r="F87" i="39"/>
  <c r="B87" i="39"/>
  <c r="B41" i="39"/>
  <c r="J41" i="39"/>
  <c r="E192" i="39"/>
  <c r="N41" i="39"/>
  <c r="D192" i="39"/>
  <c r="F192" i="39"/>
  <c r="F41" i="39"/>
  <c r="B192" i="39"/>
  <c r="H41" i="39"/>
  <c r="N77" i="39"/>
  <c r="M77" i="39"/>
  <c r="D77" i="39"/>
  <c r="N40" i="39"/>
  <c r="E77" i="39"/>
  <c r="H77" i="39"/>
  <c r="K77" i="39"/>
  <c r="I39" i="39"/>
  <c r="C39" i="39"/>
  <c r="F39" i="39"/>
  <c r="F190" i="39"/>
  <c r="E190" i="39"/>
  <c r="H75" i="39"/>
  <c r="D75" i="39"/>
  <c r="C75" i="39"/>
  <c r="F75" i="39"/>
  <c r="J37" i="39"/>
  <c r="F188" i="39"/>
  <c r="B188" i="39"/>
  <c r="D74" i="39"/>
  <c r="C74" i="39"/>
  <c r="F37" i="39"/>
  <c r="N37" i="39"/>
  <c r="I37" i="39"/>
  <c r="D188" i="39"/>
  <c r="C73" i="39"/>
  <c r="D73" i="39"/>
  <c r="M73" i="39"/>
  <c r="N73" i="39"/>
  <c r="J36" i="39"/>
  <c r="D187" i="39"/>
  <c r="B187" i="39"/>
  <c r="F187" i="39"/>
  <c r="E187" i="39"/>
  <c r="I35" i="39"/>
  <c r="F35" i="39"/>
  <c r="F186" i="39"/>
  <c r="E186" i="39"/>
  <c r="I33" i="39"/>
  <c r="C33" i="39"/>
  <c r="F184" i="39"/>
  <c r="J33" i="39"/>
  <c r="E184" i="39"/>
  <c r="B33" i="39"/>
  <c r="D184" i="39"/>
  <c r="B184" i="39"/>
  <c r="N69" i="39"/>
  <c r="E69" i="39"/>
  <c r="N32" i="39"/>
  <c r="D69" i="39"/>
  <c r="F183" i="39"/>
  <c r="C69" i="39"/>
  <c r="F69" i="39"/>
  <c r="B69" i="39"/>
  <c r="E183" i="39"/>
  <c r="D183" i="39"/>
  <c r="E67" i="39"/>
  <c r="C67" i="39"/>
  <c r="M67" i="39"/>
  <c r="H67" i="39"/>
  <c r="I29" i="39"/>
  <c r="D180" i="39"/>
  <c r="F180" i="39"/>
  <c r="B180" i="39"/>
  <c r="K29" i="39"/>
  <c r="O29" i="39"/>
  <c r="F66" i="39"/>
  <c r="F29" i="39"/>
  <c r="D29" i="39"/>
  <c r="E180" i="39"/>
  <c r="H29" i="39"/>
  <c r="E29" i="39"/>
  <c r="B29" i="39"/>
  <c r="M65" i="39"/>
  <c r="N65" i="39"/>
  <c r="D65" i="39"/>
  <c r="E65" i="39"/>
  <c r="B176" i="39"/>
  <c r="E62" i="39"/>
  <c r="M62" i="39"/>
  <c r="B62" i="39"/>
  <c r="K62" i="39"/>
  <c r="C62" i="39"/>
  <c r="F62" i="39"/>
  <c r="K25" i="39"/>
  <c r="N25" i="39"/>
  <c r="C25" i="39"/>
  <c r="H25" i="39"/>
  <c r="J25" i="39"/>
  <c r="I25" i="39"/>
  <c r="E61" i="39"/>
  <c r="D61" i="39"/>
  <c r="F61" i="39"/>
  <c r="B61" i="39"/>
  <c r="E171" i="39"/>
  <c r="F56" i="39"/>
  <c r="C56" i="39"/>
  <c r="M55" i="39"/>
  <c r="E53" i="39"/>
  <c r="N53" i="39"/>
  <c r="H53" i="39"/>
  <c r="E52" i="39"/>
  <c r="N52" i="39"/>
  <c r="J14" i="39"/>
  <c r="D165" i="39"/>
  <c r="Q10" i="25"/>
  <c r="P10" i="25"/>
  <c r="O10" i="25"/>
  <c r="B8" i="3"/>
  <c r="R52" i="17"/>
  <c r="R56" i="17"/>
  <c r="R60" i="17"/>
  <c r="R64" i="17"/>
  <c r="R68" i="17"/>
  <c r="R72" i="17"/>
  <c r="R76" i="17"/>
  <c r="R49" i="17"/>
  <c r="R53" i="17"/>
  <c r="R57" i="17"/>
  <c r="R61" i="17"/>
  <c r="R65" i="17"/>
  <c r="R69" i="17"/>
  <c r="R73" i="17"/>
  <c r="R50" i="17"/>
  <c r="R54" i="17"/>
  <c r="R58" i="17"/>
  <c r="R62" i="17"/>
  <c r="R66" i="17"/>
  <c r="R70" i="17"/>
  <c r="R74" i="17"/>
  <c r="R77" i="17"/>
  <c r="R51" i="17"/>
  <c r="R55" i="17"/>
  <c r="R59" i="17"/>
  <c r="R63" i="17"/>
  <c r="R67" i="17"/>
  <c r="R71" i="17"/>
  <c r="R75" i="17"/>
  <c r="R78" i="17"/>
  <c r="T49" i="7"/>
  <c r="T53" i="7"/>
  <c r="P17" i="7"/>
  <c r="L16" i="39" s="1"/>
  <c r="T48" i="7"/>
  <c r="P16" i="7"/>
  <c r="J16" i="7" s="1" a="1"/>
  <c r="J16" i="7" s="1"/>
  <c r="T46" i="7"/>
  <c r="T50" i="7"/>
  <c r="T54" i="7"/>
  <c r="T52" i="7"/>
  <c r="T47" i="7"/>
  <c r="T51" i="7"/>
  <c r="T55" i="7"/>
  <c r="P14" i="7"/>
  <c r="J14" i="7" s="1" a="1"/>
  <c r="J14" i="7" s="1"/>
  <c r="P53" i="7"/>
  <c r="J53" i="7" s="1" a="1"/>
  <c r="J53" i="7" s="1"/>
  <c r="P49" i="7"/>
  <c r="J49" i="7" s="1" a="1"/>
  <c r="J49" i="7" s="1"/>
  <c r="P45" i="7"/>
  <c r="J45" i="7" s="1" a="1"/>
  <c r="J45" i="7" s="1"/>
  <c r="B12" i="3"/>
  <c r="I18" i="25" s="1"/>
  <c r="J13" i="23"/>
  <c r="K13" i="23" s="1"/>
  <c r="F49" i="5"/>
  <c r="G49" i="5" s="1"/>
  <c r="P49" i="5" s="1"/>
  <c r="J49" i="5" s="1" a="1"/>
  <c r="J49" i="5" s="1"/>
  <c r="H34" i="16"/>
  <c r="H17" i="29"/>
  <c r="I17" i="29" s="1"/>
  <c r="K31" i="27"/>
  <c r="L31" i="27" s="1"/>
  <c r="G38" i="16"/>
  <c r="N87" i="17"/>
  <c r="O87" i="17" s="1"/>
  <c r="C19" i="39" s="1"/>
  <c r="F40" i="5"/>
  <c r="G40" i="5" s="1"/>
  <c r="P40" i="5" s="1"/>
  <c r="J40" i="5" s="1" a="1"/>
  <c r="J40" i="5" s="1"/>
  <c r="N123" i="17"/>
  <c r="O123" i="17" s="1"/>
  <c r="D23" i="39" s="1"/>
  <c r="H46" i="29"/>
  <c r="I46" i="29" s="1"/>
  <c r="F54" i="5"/>
  <c r="G54" i="5" s="1"/>
  <c r="P54" i="5" s="1"/>
  <c r="J54" i="5" s="1" a="1"/>
  <c r="J54" i="5" s="1"/>
  <c r="J47" i="23"/>
  <c r="K47" i="23" s="1"/>
  <c r="J23" i="23"/>
  <c r="K23" i="23" s="1"/>
  <c r="K32" i="27"/>
  <c r="L32" i="27" s="1"/>
  <c r="C124" i="39"/>
  <c r="C125" i="39"/>
  <c r="C123" i="39"/>
  <c r="G115" i="39"/>
  <c r="C115" i="39"/>
  <c r="B115" i="39"/>
  <c r="F115" i="39"/>
  <c r="G111" i="39"/>
  <c r="C111" i="39"/>
  <c r="B111" i="39"/>
  <c r="F111" i="39"/>
  <c r="G107" i="39"/>
  <c r="C107" i="39"/>
  <c r="F107" i="39"/>
  <c r="B107" i="39"/>
  <c r="G103" i="39"/>
  <c r="F103" i="39"/>
  <c r="C103" i="39"/>
  <c r="B103" i="39"/>
  <c r="E99" i="39"/>
  <c r="G99" i="39"/>
  <c r="C99" i="39"/>
  <c r="B99" i="39"/>
  <c r="B95" i="39"/>
  <c r="G91" i="39"/>
  <c r="B91" i="39"/>
  <c r="G154" i="39"/>
  <c r="C154" i="39"/>
  <c r="F154" i="39"/>
  <c r="B154" i="39"/>
  <c r="E154" i="39"/>
  <c r="D154" i="39"/>
  <c r="G150" i="39"/>
  <c r="C150" i="39"/>
  <c r="F150" i="39"/>
  <c r="B150" i="39"/>
  <c r="E150" i="39"/>
  <c r="D150" i="39"/>
  <c r="G146" i="39"/>
  <c r="C146" i="39"/>
  <c r="F146" i="39"/>
  <c r="B146" i="39"/>
  <c r="E146" i="39"/>
  <c r="D146" i="39"/>
  <c r="G142" i="39"/>
  <c r="C142" i="39"/>
  <c r="F142" i="39"/>
  <c r="B142" i="39"/>
  <c r="E142" i="39"/>
  <c r="D142" i="39"/>
  <c r="G138" i="39"/>
  <c r="C138" i="39"/>
  <c r="F138" i="39"/>
  <c r="B138" i="39"/>
  <c r="E138" i="39"/>
  <c r="D138" i="39"/>
  <c r="G134" i="39"/>
  <c r="C134" i="39"/>
  <c r="F134" i="39"/>
  <c r="B134" i="39"/>
  <c r="E134" i="39"/>
  <c r="D134" i="39"/>
  <c r="G130" i="39"/>
  <c r="C130" i="39"/>
  <c r="F130" i="39"/>
  <c r="B130" i="39"/>
  <c r="E130" i="39"/>
  <c r="D130" i="39"/>
  <c r="G126" i="39"/>
  <c r="C126" i="39"/>
  <c r="F126" i="39"/>
  <c r="E126" i="39"/>
  <c r="D126" i="39"/>
  <c r="D62" i="39"/>
  <c r="D54" i="39"/>
  <c r="G114" i="39"/>
  <c r="F114" i="39"/>
  <c r="C114" i="39"/>
  <c r="B114" i="39"/>
  <c r="G110" i="39"/>
  <c r="F110" i="39"/>
  <c r="C110" i="39"/>
  <c r="B110" i="39"/>
  <c r="F106" i="39"/>
  <c r="C106" i="39"/>
  <c r="B106" i="39"/>
  <c r="G102" i="39"/>
  <c r="C102" i="39"/>
  <c r="B102" i="39"/>
  <c r="G98" i="39"/>
  <c r="D98" i="39"/>
  <c r="B98" i="39"/>
  <c r="G94" i="39"/>
  <c r="C94" i="39"/>
  <c r="B94" i="39"/>
  <c r="G90" i="39"/>
  <c r="B90" i="39"/>
  <c r="B88" i="39"/>
  <c r="G88" i="39"/>
  <c r="F153" i="39"/>
  <c r="B153" i="39"/>
  <c r="E153" i="39"/>
  <c r="D153" i="39"/>
  <c r="C153" i="39"/>
  <c r="G153" i="39"/>
  <c r="F149" i="39"/>
  <c r="B149" i="39"/>
  <c r="E149" i="39"/>
  <c r="D149" i="39"/>
  <c r="G149" i="39"/>
  <c r="C149" i="39"/>
  <c r="F145" i="39"/>
  <c r="B145" i="39"/>
  <c r="E145" i="39"/>
  <c r="D145" i="39"/>
  <c r="G145" i="39"/>
  <c r="C145" i="39"/>
  <c r="F141" i="39"/>
  <c r="B141" i="39"/>
  <c r="E141" i="39"/>
  <c r="D141" i="39"/>
  <c r="G141" i="39"/>
  <c r="C141" i="39"/>
  <c r="F137" i="39"/>
  <c r="B137" i="39"/>
  <c r="E137" i="39"/>
  <c r="D137" i="39"/>
  <c r="C137" i="39"/>
  <c r="G137" i="39"/>
  <c r="F133" i="39"/>
  <c r="B133" i="39"/>
  <c r="E133" i="39"/>
  <c r="D133" i="39"/>
  <c r="G133" i="39"/>
  <c r="C133" i="39"/>
  <c r="F129" i="39"/>
  <c r="B129" i="39"/>
  <c r="E129" i="39"/>
  <c r="D129" i="39"/>
  <c r="G129" i="39"/>
  <c r="C129" i="39"/>
  <c r="B37" i="39"/>
  <c r="K37" i="39"/>
  <c r="G117" i="39"/>
  <c r="F117" i="39"/>
  <c r="B117" i="39"/>
  <c r="C117" i="39"/>
  <c r="G113" i="39"/>
  <c r="F113" i="39"/>
  <c r="B113" i="39"/>
  <c r="C113" i="39"/>
  <c r="G109" i="39"/>
  <c r="F109" i="39"/>
  <c r="E109" i="39"/>
  <c r="D109" i="39"/>
  <c r="B109" i="39"/>
  <c r="C109" i="39"/>
  <c r="G105" i="39"/>
  <c r="F105" i="39"/>
  <c r="B105" i="39"/>
  <c r="C105" i="39"/>
  <c r="G101" i="39"/>
  <c r="B101" i="39"/>
  <c r="C101" i="39"/>
  <c r="G97" i="39"/>
  <c r="E97" i="39"/>
  <c r="B97" i="39"/>
  <c r="C97" i="39"/>
  <c r="G93" i="39"/>
  <c r="B93" i="39"/>
  <c r="C93" i="39"/>
  <c r="G89" i="39"/>
  <c r="B89" i="39"/>
  <c r="E152" i="39"/>
  <c r="D152" i="39"/>
  <c r="G152" i="39"/>
  <c r="C152" i="39"/>
  <c r="F152" i="39"/>
  <c r="B152" i="39"/>
  <c r="E148" i="39"/>
  <c r="D148" i="39"/>
  <c r="G148" i="39"/>
  <c r="C148" i="39"/>
  <c r="F148" i="39"/>
  <c r="B148" i="39"/>
  <c r="E144" i="39"/>
  <c r="D144" i="39"/>
  <c r="G144" i="39"/>
  <c r="C144" i="39"/>
  <c r="B144" i="39"/>
  <c r="F144" i="39"/>
  <c r="E140" i="39"/>
  <c r="D140" i="39"/>
  <c r="G140" i="39"/>
  <c r="C140" i="39"/>
  <c r="F140" i="39"/>
  <c r="B140" i="39"/>
  <c r="E136" i="39"/>
  <c r="D136" i="39"/>
  <c r="G136" i="39"/>
  <c r="C136" i="39"/>
  <c r="F136" i="39"/>
  <c r="B136" i="39"/>
  <c r="E132" i="39"/>
  <c r="D132" i="39"/>
  <c r="G132" i="39"/>
  <c r="C132" i="39"/>
  <c r="F132" i="39"/>
  <c r="B132" i="39"/>
  <c r="E128" i="39"/>
  <c r="D128" i="39"/>
  <c r="G128" i="39"/>
  <c r="C128" i="39"/>
  <c r="B128" i="39"/>
  <c r="F128" i="39"/>
  <c r="F116" i="39"/>
  <c r="B116" i="39"/>
  <c r="C116" i="39"/>
  <c r="G116" i="39"/>
  <c r="F112" i="39"/>
  <c r="B112" i="39"/>
  <c r="C112" i="39"/>
  <c r="F108" i="39"/>
  <c r="G108" i="39"/>
  <c r="B108" i="39"/>
  <c r="C108" i="39"/>
  <c r="F104" i="39"/>
  <c r="B104" i="39"/>
  <c r="C104" i="39"/>
  <c r="D104" i="39"/>
  <c r="G104" i="39"/>
  <c r="E104" i="39"/>
  <c r="B100" i="39"/>
  <c r="C100" i="39"/>
  <c r="B96" i="39"/>
  <c r="G96" i="39"/>
  <c r="B92" i="39"/>
  <c r="G92" i="39"/>
  <c r="D155" i="39"/>
  <c r="G155" i="39"/>
  <c r="C155" i="39"/>
  <c r="F155" i="39"/>
  <c r="B155" i="39"/>
  <c r="E155" i="39"/>
  <c r="D151" i="39"/>
  <c r="G151" i="39"/>
  <c r="C151" i="39"/>
  <c r="F151" i="39"/>
  <c r="B151" i="39"/>
  <c r="E151" i="39"/>
  <c r="D147" i="39"/>
  <c r="G147" i="39"/>
  <c r="C147" i="39"/>
  <c r="F147" i="39"/>
  <c r="B147" i="39"/>
  <c r="E147" i="39"/>
  <c r="D143" i="39"/>
  <c r="G143" i="39"/>
  <c r="C143" i="39"/>
  <c r="F143" i="39"/>
  <c r="B143" i="39"/>
  <c r="E143" i="39"/>
  <c r="D139" i="39"/>
  <c r="G139" i="39"/>
  <c r="C139" i="39"/>
  <c r="F139" i="39"/>
  <c r="B139" i="39"/>
  <c r="E139" i="39"/>
  <c r="D135" i="39"/>
  <c r="G135" i="39"/>
  <c r="C135" i="39"/>
  <c r="F135" i="39"/>
  <c r="B135" i="39"/>
  <c r="E135" i="39"/>
  <c r="D131" i="39"/>
  <c r="G131" i="39"/>
  <c r="C131" i="39"/>
  <c r="F131" i="39"/>
  <c r="B131" i="39"/>
  <c r="E131" i="39"/>
  <c r="D127" i="39"/>
  <c r="G127" i="39"/>
  <c r="C127" i="39"/>
  <c r="F127" i="39"/>
  <c r="B127" i="39"/>
  <c r="E127" i="39"/>
  <c r="D52" i="39"/>
  <c r="D53" i="39"/>
  <c r="C77" i="39"/>
  <c r="C79" i="39"/>
  <c r="F79" i="39"/>
  <c r="F52" i="39"/>
  <c r="F77" i="39"/>
  <c r="B9" i="17"/>
  <c r="B79" i="39"/>
  <c r="B77" i="39"/>
  <c r="N39" i="39"/>
  <c r="H26" i="39"/>
  <c r="K79" i="39"/>
  <c r="G79" i="39"/>
  <c r="L42" i="39"/>
  <c r="E55" i="39"/>
  <c r="H40" i="39"/>
  <c r="K40" i="39"/>
  <c r="B167" i="39"/>
  <c r="M68" i="39"/>
  <c r="N68" i="39"/>
  <c r="F60" i="39"/>
  <c r="M72" i="39"/>
  <c r="M76" i="39"/>
  <c r="E60" i="39"/>
  <c r="N28" i="39"/>
  <c r="J32" i="39"/>
  <c r="F36" i="39"/>
  <c r="C36" i="39"/>
  <c r="D185" i="39"/>
  <c r="D189" i="39"/>
  <c r="E178" i="39"/>
  <c r="C64" i="39"/>
  <c r="K68" i="39"/>
  <c r="H24" i="39"/>
  <c r="C40" i="39"/>
  <c r="F68" i="39"/>
  <c r="B68" i="39"/>
  <c r="C68" i="39"/>
  <c r="J40" i="39"/>
  <c r="F51" i="39"/>
  <c r="C167" i="39"/>
  <c r="H76" i="39"/>
  <c r="M60" i="39"/>
  <c r="F64" i="39"/>
  <c r="C72" i="39"/>
  <c r="D76" i="39"/>
  <c r="E72" i="39"/>
  <c r="N64" i="39"/>
  <c r="I32" i="39"/>
  <c r="F32" i="39"/>
  <c r="I36" i="39"/>
  <c r="B36" i="39"/>
  <c r="D72" i="39"/>
  <c r="D167" i="39"/>
  <c r="D178" i="39"/>
  <c r="B175" i="39"/>
  <c r="F175" i="39"/>
  <c r="B185" i="39"/>
  <c r="H60" i="39"/>
  <c r="K64" i="39"/>
  <c r="H32" i="39"/>
  <c r="D64" i="39"/>
  <c r="B72" i="39"/>
  <c r="N36" i="39"/>
  <c r="C24" i="39"/>
  <c r="B178" i="39"/>
  <c r="E175" i="39"/>
  <c r="F171" i="39"/>
  <c r="F185" i="39"/>
  <c r="F189" i="39"/>
  <c r="B189" i="39"/>
  <c r="E167" i="39"/>
  <c r="K60" i="39"/>
  <c r="K41" i="39"/>
  <c r="L37" i="39"/>
  <c r="L33" i="39"/>
  <c r="G33" i="39"/>
  <c r="L29" i="39"/>
  <c r="G29" i="39"/>
  <c r="L14" i="39"/>
  <c r="K78" i="39"/>
  <c r="G78" i="39"/>
  <c r="K74" i="39"/>
  <c r="G74" i="39"/>
  <c r="C70" i="39"/>
  <c r="G70" i="39"/>
  <c r="K66" i="39"/>
  <c r="G66" i="39"/>
  <c r="K58" i="39"/>
  <c r="G58" i="39"/>
  <c r="G10" i="25"/>
  <c r="H27" i="39"/>
  <c r="L41" i="39"/>
  <c r="G41" i="39"/>
  <c r="L39" i="39"/>
  <c r="G39" i="39"/>
  <c r="L36" i="39"/>
  <c r="G36" i="39"/>
  <c r="L32" i="39"/>
  <c r="G32" i="39"/>
  <c r="L28" i="39"/>
  <c r="G28" i="39"/>
  <c r="L25" i="39"/>
  <c r="O21" i="39"/>
  <c r="G21" i="39"/>
  <c r="O17" i="39"/>
  <c r="K56" i="39"/>
  <c r="G56" i="39"/>
  <c r="E73" i="39"/>
  <c r="G73" i="39"/>
  <c r="H69" i="39"/>
  <c r="G69" i="39"/>
  <c r="C65" i="39"/>
  <c r="G65" i="39"/>
  <c r="K61" i="39"/>
  <c r="G61" i="39"/>
  <c r="K38" i="39"/>
  <c r="H36" i="39"/>
  <c r="L35" i="39"/>
  <c r="G35" i="39"/>
  <c r="L31" i="39"/>
  <c r="O16" i="39"/>
  <c r="K76" i="39"/>
  <c r="G76" i="39"/>
  <c r="H64" i="39"/>
  <c r="G64" i="39"/>
  <c r="L40" i="39"/>
  <c r="L38" i="39"/>
  <c r="G38" i="39"/>
  <c r="L34" i="39"/>
  <c r="G34" i="39"/>
  <c r="L30" i="39"/>
  <c r="G30" i="39"/>
  <c r="L27" i="39"/>
  <c r="G27" i="39"/>
  <c r="G19" i="39"/>
  <c r="H54" i="39"/>
  <c r="G54" i="39"/>
  <c r="C71" i="39"/>
  <c r="G71" i="39"/>
  <c r="D67" i="39"/>
  <c r="G67" i="39"/>
  <c r="D63" i="39"/>
  <c r="G63" i="39"/>
  <c r="K28" i="39"/>
  <c r="H61" i="39"/>
  <c r="I38" i="39"/>
  <c r="O28" i="39"/>
  <c r="O42" i="39"/>
  <c r="J38" i="23"/>
  <c r="K38" i="23" s="1"/>
  <c r="K33" i="27"/>
  <c r="L33" i="27" s="1"/>
  <c r="F47" i="5"/>
  <c r="G47" i="5" s="1"/>
  <c r="P47" i="5" s="1"/>
  <c r="J47" i="5" s="1" a="1"/>
  <c r="J47" i="5" s="1"/>
  <c r="J45" i="23"/>
  <c r="K45" i="23" s="1"/>
  <c r="H15" i="29"/>
  <c r="I15" i="29" s="1"/>
  <c r="O258" i="17"/>
  <c r="O254" i="17"/>
  <c r="G42" i="39" s="1"/>
  <c r="O252" i="17"/>
  <c r="O249" i="17"/>
  <c r="O247" i="17"/>
  <c r="O238" i="17"/>
  <c r="O236" i="17"/>
  <c r="O234" i="17"/>
  <c r="G100" i="39" s="1"/>
  <c r="O231" i="17"/>
  <c r="O233" i="17"/>
  <c r="G17" i="39" s="1"/>
  <c r="O250" i="17"/>
  <c r="O248" i="17"/>
  <c r="O245" i="17"/>
  <c r="O243" i="17"/>
  <c r="O232" i="17"/>
  <c r="O229" i="17"/>
  <c r="G20" i="39" s="1"/>
  <c r="O256" i="17"/>
  <c r="O251" i="17"/>
  <c r="O240" i="17"/>
  <c r="G106" i="39" s="1"/>
  <c r="O235" i="17"/>
  <c r="O257" i="17"/>
  <c r="O255" i="17"/>
  <c r="O246" i="17"/>
  <c r="G112" i="39" s="1"/>
  <c r="O244" i="17"/>
  <c r="O241" i="17"/>
  <c r="O239" i="17"/>
  <c r="O230" i="17"/>
  <c r="G14" i="39" s="1"/>
  <c r="O253" i="17"/>
  <c r="O242" i="17"/>
  <c r="O237" i="17"/>
  <c r="J20" i="23"/>
  <c r="K20" i="23" s="1"/>
  <c r="K46" i="27"/>
  <c r="L46" i="27" s="1"/>
  <c r="K53" i="27"/>
  <c r="L53" i="27" s="1"/>
  <c r="J56" i="23"/>
  <c r="K56" i="23" s="1"/>
  <c r="E94" i="16"/>
  <c r="H55" i="29"/>
  <c r="I55" i="29" s="1"/>
  <c r="H40" i="29"/>
  <c r="I40" i="29" s="1"/>
  <c r="H34" i="29"/>
  <c r="I34" i="29" s="1"/>
  <c r="H24" i="29"/>
  <c r="I24" i="29" s="1"/>
  <c r="J36" i="23"/>
  <c r="K36" i="23" s="1"/>
  <c r="N91" i="17"/>
  <c r="O91" i="17" s="1"/>
  <c r="C98" i="39" s="1"/>
  <c r="N223" i="17"/>
  <c r="O223" i="17" s="1"/>
  <c r="N219" i="17"/>
  <c r="O219" i="17" s="1"/>
  <c r="N215" i="17"/>
  <c r="O215" i="17" s="1"/>
  <c r="N211" i="17"/>
  <c r="O211" i="17" s="1"/>
  <c r="N207" i="17"/>
  <c r="O207" i="17" s="1"/>
  <c r="N203" i="17"/>
  <c r="O203" i="17" s="1"/>
  <c r="N199" i="17"/>
  <c r="O199" i="17" s="1"/>
  <c r="N195" i="17"/>
  <c r="O195" i="17" s="1"/>
  <c r="N191" i="17"/>
  <c r="O191" i="17" s="1"/>
  <c r="N187" i="17"/>
  <c r="O187" i="17" s="1"/>
  <c r="F98" i="39" s="1"/>
  <c r="N183" i="17"/>
  <c r="O183" i="17" s="1"/>
  <c r="F94" i="39" s="1"/>
  <c r="N179" i="17"/>
  <c r="O179" i="17" s="1"/>
  <c r="R59" i="2"/>
  <c r="S59" i="2" s="1"/>
  <c r="R55" i="2"/>
  <c r="S55" i="2" s="1"/>
  <c r="R51" i="2"/>
  <c r="S51" i="2" s="1"/>
  <c r="R47" i="2"/>
  <c r="S47" i="2" s="1"/>
  <c r="R43" i="2"/>
  <c r="S43" i="2" s="1"/>
  <c r="R39" i="2"/>
  <c r="S39" i="2" s="1"/>
  <c r="R35" i="2"/>
  <c r="S35" i="2" s="1"/>
  <c r="R31" i="2"/>
  <c r="S31" i="2" s="1"/>
  <c r="R27" i="2"/>
  <c r="S27" i="2" s="1"/>
  <c r="R23" i="2"/>
  <c r="S23" i="2" s="1"/>
  <c r="R19" i="2"/>
  <c r="S19" i="2" s="1"/>
  <c r="H19" i="39" s="1"/>
  <c r="R15" i="2"/>
  <c r="S15" i="2" s="1"/>
  <c r="N226" i="17"/>
  <c r="O226" i="17" s="1"/>
  <c r="N222" i="17"/>
  <c r="O222" i="17" s="1"/>
  <c r="N218" i="17"/>
  <c r="O218" i="17" s="1"/>
  <c r="N214" i="17"/>
  <c r="O214" i="17" s="1"/>
  <c r="N210" i="17"/>
  <c r="O210" i="17" s="1"/>
  <c r="N206" i="17"/>
  <c r="O206" i="17" s="1"/>
  <c r="N202" i="17"/>
  <c r="O202" i="17" s="1"/>
  <c r="N198" i="17"/>
  <c r="O198" i="17" s="1"/>
  <c r="N194" i="17"/>
  <c r="O194" i="17" s="1"/>
  <c r="N190" i="17"/>
  <c r="O190" i="17" s="1"/>
  <c r="F101" i="39" s="1"/>
  <c r="N186" i="17"/>
  <c r="O186" i="17" s="1"/>
  <c r="N182" i="17"/>
  <c r="O182" i="17" s="1"/>
  <c r="N178" i="17"/>
  <c r="O178" i="17" s="1"/>
  <c r="F89" i="39" s="1"/>
  <c r="R58" i="2"/>
  <c r="S58" i="2" s="1"/>
  <c r="R54" i="2"/>
  <c r="S54" i="2" s="1"/>
  <c r="R50" i="2"/>
  <c r="S50" i="2" s="1"/>
  <c r="R46" i="2"/>
  <c r="S46" i="2" s="1"/>
  <c r="R42" i="2"/>
  <c r="S42" i="2" s="1"/>
  <c r="R38" i="2"/>
  <c r="S38" i="2" s="1"/>
  <c r="R34" i="2"/>
  <c r="S34" i="2" s="1"/>
  <c r="R30" i="2"/>
  <c r="S30" i="2" s="1"/>
  <c r="R26" i="2"/>
  <c r="S26" i="2" s="1"/>
  <c r="R22" i="2"/>
  <c r="S22" i="2" s="1"/>
  <c r="R18" i="2"/>
  <c r="S18" i="2" s="1"/>
  <c r="R14" i="2"/>
  <c r="S14" i="2" s="1"/>
  <c r="N225" i="17"/>
  <c r="O225" i="17" s="1"/>
  <c r="N221" i="17"/>
  <c r="O221" i="17" s="1"/>
  <c r="N217" i="17"/>
  <c r="O217" i="17" s="1"/>
  <c r="N213" i="17"/>
  <c r="O213" i="17" s="1"/>
  <c r="N209" i="17"/>
  <c r="O209" i="17" s="1"/>
  <c r="N205" i="17"/>
  <c r="O205" i="17" s="1"/>
  <c r="N201" i="17"/>
  <c r="O201" i="17" s="1"/>
  <c r="N197" i="17"/>
  <c r="O197" i="17" s="1"/>
  <c r="N193" i="17"/>
  <c r="O193" i="17" s="1"/>
  <c r="N189" i="17"/>
  <c r="O189" i="17" s="1"/>
  <c r="F12" i="39" s="1"/>
  <c r="N185" i="17"/>
  <c r="O185" i="17" s="1"/>
  <c r="F96" i="39" s="1"/>
  <c r="N181" i="17"/>
  <c r="O181" i="17" s="1"/>
  <c r="F92" i="39" s="1"/>
  <c r="N177" i="17"/>
  <c r="O177" i="17" s="1"/>
  <c r="R57" i="2"/>
  <c r="S57" i="2" s="1"/>
  <c r="R53" i="2"/>
  <c r="S53" i="2" s="1"/>
  <c r="R49" i="2"/>
  <c r="S49" i="2" s="1"/>
  <c r="R45" i="2"/>
  <c r="S45" i="2" s="1"/>
  <c r="R41" i="2"/>
  <c r="S41" i="2" s="1"/>
  <c r="R37" i="2"/>
  <c r="S37" i="2" s="1"/>
  <c r="R33" i="2"/>
  <c r="S33" i="2" s="1"/>
  <c r="R29" i="2"/>
  <c r="S29" i="2" s="1"/>
  <c r="R25" i="2"/>
  <c r="S25" i="2" s="1"/>
  <c r="R21" i="2"/>
  <c r="S21" i="2" s="1"/>
  <c r="R17" i="2"/>
  <c r="S17" i="2" s="1"/>
  <c r="N224" i="17"/>
  <c r="O224" i="17" s="1"/>
  <c r="N220" i="17"/>
  <c r="O220" i="17" s="1"/>
  <c r="N216" i="17"/>
  <c r="O216" i="17" s="1"/>
  <c r="N212" i="17"/>
  <c r="O212" i="17" s="1"/>
  <c r="N208" i="17"/>
  <c r="O208" i="17" s="1"/>
  <c r="N204" i="17"/>
  <c r="O204" i="17" s="1"/>
  <c r="N200" i="17"/>
  <c r="O200" i="17" s="1"/>
  <c r="N196" i="17"/>
  <c r="O196" i="17" s="1"/>
  <c r="N192" i="17"/>
  <c r="O192" i="17" s="1"/>
  <c r="F102" i="39" s="1"/>
  <c r="N188" i="17"/>
  <c r="O188" i="17" s="1"/>
  <c r="F99" i="39" s="1"/>
  <c r="N184" i="17"/>
  <c r="O184" i="17" s="1"/>
  <c r="F20" i="39" s="1"/>
  <c r="N180" i="17"/>
  <c r="O180" i="17" s="1"/>
  <c r="F90" i="39" s="1"/>
  <c r="R60" i="2"/>
  <c r="S60" i="2" s="1"/>
  <c r="R56" i="2"/>
  <c r="S56" i="2" s="1"/>
  <c r="R52" i="2"/>
  <c r="S52" i="2" s="1"/>
  <c r="R48" i="2"/>
  <c r="S48" i="2" s="1"/>
  <c r="R44" i="2"/>
  <c r="S44" i="2" s="1"/>
  <c r="R40" i="2"/>
  <c r="S40" i="2" s="1"/>
  <c r="R36" i="2"/>
  <c r="S36" i="2" s="1"/>
  <c r="R32" i="2"/>
  <c r="S32" i="2" s="1"/>
  <c r="R28" i="2"/>
  <c r="S28" i="2" s="1"/>
  <c r="R24" i="2"/>
  <c r="S24" i="2" s="1"/>
  <c r="R20" i="2"/>
  <c r="S20" i="2" s="1"/>
  <c r="R16" i="2"/>
  <c r="S16" i="2" s="1"/>
  <c r="H49" i="29"/>
  <c r="I49" i="29" s="1"/>
  <c r="H42" i="29"/>
  <c r="I42" i="29" s="1"/>
  <c r="J57" i="23"/>
  <c r="K57" i="23" s="1"/>
  <c r="F25" i="5"/>
  <c r="G25" i="5" s="1"/>
  <c r="P25" i="5" s="1"/>
  <c r="J25" i="5" s="1" a="1"/>
  <c r="J25" i="5" s="1"/>
  <c r="B10" i="4"/>
  <c r="T22" i="7"/>
  <c r="T26" i="7"/>
  <c r="T30" i="7"/>
  <c r="T34" i="7"/>
  <c r="T38" i="7"/>
  <c r="T42" i="7"/>
  <c r="T23" i="7"/>
  <c r="T27" i="7"/>
  <c r="T31" i="7"/>
  <c r="T35" i="7"/>
  <c r="T39" i="7"/>
  <c r="T43" i="7"/>
  <c r="T24" i="7"/>
  <c r="T28" i="7"/>
  <c r="T32" i="7"/>
  <c r="T36" i="7"/>
  <c r="T40" i="7"/>
  <c r="T44" i="7"/>
  <c r="T21" i="7"/>
  <c r="T25" i="7"/>
  <c r="T29" i="7"/>
  <c r="T33" i="7"/>
  <c r="T37" i="7"/>
  <c r="T41" i="7"/>
  <c r="T45" i="7"/>
  <c r="P41" i="7"/>
  <c r="J41" i="7" s="1" a="1"/>
  <c r="J41" i="7" s="1"/>
  <c r="P37" i="7"/>
  <c r="J37" i="7" s="1" a="1"/>
  <c r="J37" i="7" s="1"/>
  <c r="P33" i="7"/>
  <c r="J33" i="7" s="1" a="1"/>
  <c r="J33" i="7" s="1"/>
  <c r="P29" i="7"/>
  <c r="J29" i="7" s="1" a="1"/>
  <c r="J29" i="7" s="1"/>
  <c r="P25" i="7"/>
  <c r="J25" i="7" s="1" a="1"/>
  <c r="J25" i="7" s="1"/>
  <c r="P21" i="7"/>
  <c r="J21" i="7" s="1" a="1"/>
  <c r="J21" i="7" s="1"/>
  <c r="R16" i="17"/>
  <c r="B126" i="39" s="1"/>
  <c r="C49" i="39"/>
  <c r="E49" i="39"/>
  <c r="D49" i="39"/>
  <c r="H49" i="39"/>
  <c r="B48" i="39"/>
  <c r="J26" i="39"/>
  <c r="L26" i="39"/>
  <c r="J35" i="39"/>
  <c r="F34" i="39"/>
  <c r="E189" i="39"/>
  <c r="H58" i="39"/>
  <c r="K30" i="39"/>
  <c r="K65" i="39"/>
  <c r="K32" i="39"/>
  <c r="K63" i="39"/>
  <c r="K27" i="39"/>
  <c r="H21" i="39"/>
  <c r="H30" i="39"/>
  <c r="H38" i="39"/>
  <c r="K36" i="39"/>
  <c r="O37" i="39"/>
  <c r="O36" i="39"/>
  <c r="O34" i="39"/>
  <c r="O32" i="39"/>
  <c r="O30" i="39"/>
  <c r="O25" i="39"/>
  <c r="K33" i="39"/>
  <c r="K35" i="39"/>
  <c r="F33" i="39"/>
  <c r="H34" i="39"/>
  <c r="O35" i="39"/>
  <c r="O33" i="39"/>
  <c r="O31" i="39"/>
  <c r="L24" i="39"/>
  <c r="E47" i="39"/>
  <c r="B161" i="39"/>
  <c r="I10" i="39"/>
  <c r="F161" i="39"/>
  <c r="D163" i="39"/>
  <c r="O12" i="39"/>
  <c r="L12" i="39"/>
  <c r="E54" i="39"/>
  <c r="N19" i="39"/>
  <c r="K54" i="39"/>
  <c r="H23" i="39"/>
  <c r="L23" i="39"/>
  <c r="O20" i="39"/>
  <c r="L20" i="39"/>
  <c r="B14" i="39"/>
  <c r="B60" i="39"/>
  <c r="B19" i="39"/>
  <c r="B15" i="39"/>
  <c r="H22" i="39"/>
  <c r="L22" i="39"/>
  <c r="O19" i="39"/>
  <c r="L19" i="39"/>
  <c r="O15" i="39"/>
  <c r="L15" i="39"/>
  <c r="C50" i="39"/>
  <c r="N54" i="39"/>
  <c r="I22" i="39"/>
  <c r="K23" i="39"/>
  <c r="O18" i="39"/>
  <c r="L18" i="39"/>
  <c r="C60" i="39"/>
  <c r="I15" i="39"/>
  <c r="M54" i="39"/>
  <c r="O23" i="39"/>
  <c r="K21" i="39"/>
  <c r="L21" i="39"/>
  <c r="K53" i="39"/>
  <c r="P52" i="7"/>
  <c r="J52" i="7" s="1" a="1"/>
  <c r="J52" i="7" s="1"/>
  <c r="P48" i="7"/>
  <c r="J48" i="7" s="1" a="1"/>
  <c r="J48" i="7" s="1"/>
  <c r="P44" i="7"/>
  <c r="J44" i="7" s="1" a="1"/>
  <c r="J44" i="7" s="1"/>
  <c r="P40" i="7"/>
  <c r="J40" i="7" s="1" a="1"/>
  <c r="J40" i="7" s="1"/>
  <c r="P36" i="7"/>
  <c r="J36" i="7" s="1" a="1"/>
  <c r="J36" i="7" s="1"/>
  <c r="P32" i="7"/>
  <c r="J32" i="7" s="1" a="1"/>
  <c r="J32" i="7" s="1"/>
  <c r="P28" i="7"/>
  <c r="J28" i="7" s="1" a="1"/>
  <c r="J28" i="7" s="1"/>
  <c r="P24" i="7"/>
  <c r="J24" i="7" s="1" a="1"/>
  <c r="J24" i="7" s="1"/>
  <c r="P55" i="7"/>
  <c r="J55" i="7" s="1" a="1"/>
  <c r="J55" i="7" s="1"/>
  <c r="P51" i="7"/>
  <c r="J51" i="7" s="1" a="1"/>
  <c r="J51" i="7" s="1"/>
  <c r="P47" i="7"/>
  <c r="J47" i="7" s="1" a="1"/>
  <c r="J47" i="7" s="1"/>
  <c r="P43" i="7"/>
  <c r="J43" i="7" s="1" a="1"/>
  <c r="J43" i="7" s="1"/>
  <c r="P39" i="7"/>
  <c r="J39" i="7" s="1" a="1"/>
  <c r="J39" i="7" s="1"/>
  <c r="P35" i="7"/>
  <c r="J35" i="7" s="1" a="1"/>
  <c r="J35" i="7" s="1"/>
  <c r="P31" i="7"/>
  <c r="J31" i="7" s="1" a="1"/>
  <c r="J31" i="7" s="1"/>
  <c r="P27" i="7"/>
  <c r="J27" i="7" s="1" a="1"/>
  <c r="J27" i="7" s="1"/>
  <c r="P23" i="7"/>
  <c r="J23" i="7" s="1" a="1"/>
  <c r="J23" i="7" s="1"/>
  <c r="P54" i="7"/>
  <c r="J54" i="7" s="1" a="1"/>
  <c r="J54" i="7" s="1"/>
  <c r="P50" i="7"/>
  <c r="J50" i="7" s="1" a="1"/>
  <c r="J50" i="7" s="1"/>
  <c r="P46" i="7"/>
  <c r="J46" i="7" s="1" a="1"/>
  <c r="J46" i="7" s="1"/>
  <c r="P42" i="7"/>
  <c r="J42" i="7" s="1" a="1"/>
  <c r="J42" i="7" s="1"/>
  <c r="P38" i="7"/>
  <c r="J38" i="7" s="1" a="1"/>
  <c r="J38" i="7" s="1"/>
  <c r="P34" i="7"/>
  <c r="J34" i="7" s="1" a="1"/>
  <c r="J34" i="7" s="1"/>
  <c r="P30" i="7"/>
  <c r="J30" i="7" s="1" a="1"/>
  <c r="J30" i="7" s="1"/>
  <c r="P26" i="7"/>
  <c r="J26" i="7" s="1" a="1"/>
  <c r="J26" i="7" s="1"/>
  <c r="P22" i="7"/>
  <c r="J22" i="7" s="1" a="1"/>
  <c r="J22" i="7" s="1"/>
  <c r="N65" i="3"/>
  <c r="S65" i="3" s="1" a="1"/>
  <c r="S65" i="3" s="1"/>
  <c r="R65" i="3" s="1"/>
  <c r="K26" i="27"/>
  <c r="L26" i="27" s="1"/>
  <c r="K57" i="27"/>
  <c r="L57" i="27" s="1"/>
  <c r="J46" i="23"/>
  <c r="K46" i="23" s="1"/>
  <c r="K17" i="27"/>
  <c r="L17" i="27" s="1"/>
  <c r="K44" i="27"/>
  <c r="L44" i="27" s="1"/>
  <c r="J31" i="23"/>
  <c r="K31" i="23" s="1"/>
  <c r="J18" i="23"/>
  <c r="K18" i="23" s="1"/>
  <c r="J19" i="39" s="1"/>
  <c r="K49" i="27"/>
  <c r="L49" i="27" s="1"/>
  <c r="J27" i="23"/>
  <c r="K27" i="23" s="1"/>
  <c r="J21" i="23"/>
  <c r="K21" i="23" s="1"/>
  <c r="K15" i="27"/>
  <c r="L15" i="27" s="1"/>
  <c r="I18" i="39" s="1"/>
  <c r="H21" i="10"/>
  <c r="F21" i="10" s="1" a="1"/>
  <c r="F21" i="10" s="1"/>
  <c r="H41" i="29"/>
  <c r="I41" i="29" s="1"/>
  <c r="H13" i="29"/>
  <c r="I13" i="29" s="1"/>
  <c r="H28" i="29"/>
  <c r="I28" i="29" s="1"/>
  <c r="H39" i="29"/>
  <c r="I39" i="29" s="1"/>
  <c r="H50" i="29"/>
  <c r="I50" i="29" s="1"/>
  <c r="H26" i="29"/>
  <c r="I26" i="29" s="1"/>
  <c r="F36" i="5"/>
  <c r="G36" i="5" s="1"/>
  <c r="P36" i="5" s="1"/>
  <c r="J36" i="5" s="1" a="1"/>
  <c r="J36" i="5" s="1"/>
  <c r="F43" i="5"/>
  <c r="G43" i="5" s="1"/>
  <c r="P43" i="5" s="1"/>
  <c r="J43" i="5" s="1" a="1"/>
  <c r="J43" i="5" s="1"/>
  <c r="F38" i="5"/>
  <c r="G38" i="5" s="1"/>
  <c r="P38" i="5" s="1"/>
  <c r="J38" i="5" s="1" a="1"/>
  <c r="J38" i="5" s="1"/>
  <c r="F45" i="5"/>
  <c r="G45" i="5" s="1"/>
  <c r="P45" i="5" s="1"/>
  <c r="J45" i="5" s="1" a="1"/>
  <c r="J45" i="5" s="1"/>
  <c r="N86" i="17"/>
  <c r="O86" i="17" s="1"/>
  <c r="H38" i="29"/>
  <c r="I38" i="29" s="1"/>
  <c r="J14" i="23"/>
  <c r="K14" i="23" s="1"/>
  <c r="J21" i="39" s="1"/>
  <c r="K20" i="27"/>
  <c r="L20" i="27" s="1"/>
  <c r="I19" i="39" s="1"/>
  <c r="N174" i="17"/>
  <c r="O174" i="17" s="1"/>
  <c r="E42" i="39" s="1"/>
  <c r="H32" i="10"/>
  <c r="F32" i="10" s="1" a="1"/>
  <c r="F32" i="10" s="1"/>
  <c r="K30" i="27"/>
  <c r="L30" i="27" s="1"/>
  <c r="K47" i="27"/>
  <c r="L47" i="27" s="1"/>
  <c r="K55" i="27"/>
  <c r="L55" i="27" s="1"/>
  <c r="J50" i="23"/>
  <c r="K50" i="23" s="1"/>
  <c r="K48" i="27"/>
  <c r="L48" i="27" s="1"/>
  <c r="J35" i="23"/>
  <c r="K35" i="23" s="1"/>
  <c r="J37" i="23"/>
  <c r="K37" i="23" s="1"/>
  <c r="H35" i="29"/>
  <c r="I35" i="29" s="1"/>
  <c r="H14" i="29"/>
  <c r="I14" i="29" s="1"/>
  <c r="F34" i="5"/>
  <c r="G34" i="5" s="1"/>
  <c r="P34" i="5" s="1"/>
  <c r="J34" i="5" s="1" a="1"/>
  <c r="J34" i="5" s="1"/>
  <c r="N170" i="17"/>
  <c r="O170" i="17" s="1"/>
  <c r="E38" i="39" s="1"/>
  <c r="F13" i="5"/>
  <c r="G13" i="5" s="1"/>
  <c r="P13" i="5" s="1"/>
  <c r="H22" i="10"/>
  <c r="F22" i="10" s="1" a="1"/>
  <c r="F22" i="10" s="1"/>
  <c r="J19" i="23"/>
  <c r="K19" i="23" s="1"/>
  <c r="E18" i="16"/>
  <c r="H33" i="29"/>
  <c r="I33" i="29" s="1"/>
  <c r="F20" i="5"/>
  <c r="G20" i="5" s="1"/>
  <c r="P20" i="5" s="1"/>
  <c r="F29" i="5"/>
  <c r="G29" i="5" s="1"/>
  <c r="P29" i="5" s="1"/>
  <c r="J29" i="5" s="1" a="1"/>
  <c r="J29" i="5" s="1"/>
  <c r="K39" i="27"/>
  <c r="L39" i="27" s="1"/>
  <c r="J34" i="23"/>
  <c r="K34" i="23" s="1"/>
  <c r="E82" i="16"/>
  <c r="J15" i="23"/>
  <c r="K15" i="23" s="1"/>
  <c r="K38" i="27"/>
  <c r="L38" i="27" s="1"/>
  <c r="K24" i="27"/>
  <c r="L24" i="27" s="1"/>
  <c r="J52" i="23"/>
  <c r="K52" i="23" s="1"/>
  <c r="J24" i="23"/>
  <c r="K24" i="23" s="1"/>
  <c r="J12" i="39" s="1"/>
  <c r="J53" i="23"/>
  <c r="K53" i="23" s="1"/>
  <c r="H57" i="29"/>
  <c r="I57" i="29" s="1"/>
  <c r="H29" i="29"/>
  <c r="I29" i="29" s="1"/>
  <c r="H48" i="29"/>
  <c r="I48" i="29" s="1"/>
  <c r="H19" i="29"/>
  <c r="I19" i="29" s="1"/>
  <c r="F12" i="5"/>
  <c r="G12" i="5" s="1"/>
  <c r="P12" i="5" s="1"/>
  <c r="F27" i="5"/>
  <c r="G27" i="5" s="1"/>
  <c r="P27" i="5" s="1"/>
  <c r="J27" i="5" s="1" a="1"/>
  <c r="J27" i="5" s="1"/>
  <c r="F22" i="5"/>
  <c r="G22" i="5" s="1"/>
  <c r="P22" i="5" s="1"/>
  <c r="V22" i="5" s="1"/>
  <c r="N161" i="17"/>
  <c r="O161" i="17" s="1"/>
  <c r="E85" i="39" s="1"/>
  <c r="N94" i="17"/>
  <c r="O94" i="17" s="1"/>
  <c r="N146" i="17"/>
  <c r="O146" i="17" s="1"/>
  <c r="E89" i="39" s="1"/>
  <c r="N154" i="17"/>
  <c r="O154" i="17" s="1"/>
  <c r="E12" i="39" s="1"/>
  <c r="N139" i="17"/>
  <c r="O139" i="17" s="1"/>
  <c r="D39" i="39" s="1"/>
  <c r="N134" i="17"/>
  <c r="O134" i="17" s="1"/>
  <c r="D11" i="39" s="1"/>
  <c r="N117" i="17"/>
  <c r="O117" i="17" s="1"/>
  <c r="D92" i="39" s="1"/>
  <c r="N136" i="17"/>
  <c r="O136" i="17" s="1"/>
  <c r="D36" i="39" s="1"/>
  <c r="N113" i="17"/>
  <c r="O113" i="17" s="1"/>
  <c r="D88" i="39" s="1"/>
  <c r="N141" i="17"/>
  <c r="O141" i="17" s="1"/>
  <c r="D116" i="39" s="1"/>
  <c r="N104" i="17"/>
  <c r="O104" i="17" s="1"/>
  <c r="N129" i="17"/>
  <c r="O129" i="17" s="1"/>
  <c r="D85" i="39" s="1"/>
  <c r="N100" i="17"/>
  <c r="O100" i="17" s="1"/>
  <c r="N121" i="17"/>
  <c r="O121" i="17" s="1"/>
  <c r="D96" i="39" s="1"/>
  <c r="N153" i="17"/>
  <c r="O153" i="17" s="1"/>
  <c r="E21" i="39" s="1"/>
  <c r="N145" i="17"/>
  <c r="O145" i="17" s="1"/>
  <c r="E88" i="39" s="1"/>
  <c r="N157" i="17"/>
  <c r="O157" i="17" s="1"/>
  <c r="E25" i="39" s="1"/>
  <c r="N130" i="17"/>
  <c r="O130" i="17" s="1"/>
  <c r="D30" i="39" s="1"/>
  <c r="E12" i="16"/>
  <c r="E14" i="16"/>
  <c r="N173" i="17"/>
  <c r="O173" i="17" s="1"/>
  <c r="E116" i="39" s="1"/>
  <c r="N163" i="17"/>
  <c r="O163" i="17" s="1"/>
  <c r="E31" i="39" s="1"/>
  <c r="N96" i="17"/>
  <c r="O96" i="17" s="1"/>
  <c r="N167" i="17"/>
  <c r="O167" i="17" s="1"/>
  <c r="E35" i="39" s="1"/>
  <c r="N132" i="17"/>
  <c r="O132" i="17" s="1"/>
  <c r="D32" i="39" s="1"/>
  <c r="N88" i="17"/>
  <c r="O88" i="17" s="1"/>
  <c r="C95" i="39" s="1"/>
  <c r="N135" i="17"/>
  <c r="O135" i="17" s="1"/>
  <c r="D35" i="39" s="1"/>
  <c r="N142" i="17"/>
  <c r="O142" i="17" s="1"/>
  <c r="D42" i="39" s="1"/>
  <c r="N110" i="17"/>
  <c r="O110" i="17" s="1"/>
  <c r="H11" i="10"/>
  <c r="K18" i="27"/>
  <c r="L18" i="27" s="1"/>
  <c r="I20" i="39" s="1"/>
  <c r="K35" i="27"/>
  <c r="L35" i="27" s="1"/>
  <c r="K43" i="27"/>
  <c r="L43" i="27" s="1"/>
  <c r="K51" i="27"/>
  <c r="L51" i="27" s="1"/>
  <c r="J25" i="23"/>
  <c r="K25" i="23" s="1"/>
  <c r="J42" i="23"/>
  <c r="K42" i="23" s="1"/>
  <c r="J54" i="23"/>
  <c r="K54" i="23" s="1"/>
  <c r="K23" i="27"/>
  <c r="L23" i="27" s="1"/>
  <c r="K36" i="27"/>
  <c r="L36" i="27" s="1"/>
  <c r="K52" i="27"/>
  <c r="L52" i="27" s="1"/>
  <c r="J26" i="23"/>
  <c r="K26" i="23" s="1"/>
  <c r="J39" i="23"/>
  <c r="K39" i="23" s="1"/>
  <c r="J51" i="23"/>
  <c r="K51" i="23" s="1"/>
  <c r="J59" i="23"/>
  <c r="K59" i="23" s="1"/>
  <c r="K54" i="27"/>
  <c r="L54" i="27" s="1"/>
  <c r="K16" i="27"/>
  <c r="L16" i="27" s="1"/>
  <c r="I21" i="39" s="1"/>
  <c r="K29" i="27"/>
  <c r="L29" i="27" s="1"/>
  <c r="K41" i="27"/>
  <c r="L41" i="27" s="1"/>
  <c r="J22" i="23"/>
  <c r="K22" i="23" s="1"/>
  <c r="J40" i="23"/>
  <c r="K40" i="23" s="1"/>
  <c r="K50" i="27"/>
  <c r="L50" i="27" s="1"/>
  <c r="K21" i="27"/>
  <c r="L21" i="27" s="1"/>
  <c r="J33" i="23"/>
  <c r="K33" i="23" s="1"/>
  <c r="J17" i="23"/>
  <c r="K17" i="23" s="1"/>
  <c r="J23" i="39" s="1"/>
  <c r="J41" i="23"/>
  <c r="K41" i="23" s="1"/>
  <c r="H45" i="29"/>
  <c r="I45" i="29" s="1"/>
  <c r="H25" i="29"/>
  <c r="I25" i="29" s="1"/>
  <c r="H56" i="29"/>
  <c r="I56" i="29" s="1"/>
  <c r="H20" i="29"/>
  <c r="I20" i="29" s="1"/>
  <c r="H47" i="29"/>
  <c r="I47" i="29" s="1"/>
  <c r="H31" i="29"/>
  <c r="I31" i="29" s="1"/>
  <c r="H58" i="29"/>
  <c r="I58" i="29" s="1"/>
  <c r="H22" i="29"/>
  <c r="I22" i="29" s="1"/>
  <c r="F52" i="5"/>
  <c r="G52" i="5" s="1"/>
  <c r="P52" i="5" s="1"/>
  <c r="J52" i="5" s="1" a="1"/>
  <c r="J52" i="5" s="1"/>
  <c r="F28" i="5"/>
  <c r="G28" i="5" s="1"/>
  <c r="P28" i="5" s="1"/>
  <c r="J28" i="5" s="1" a="1"/>
  <c r="J28" i="5" s="1"/>
  <c r="F11" i="5"/>
  <c r="G11" i="5" s="1"/>
  <c r="P11" i="5" s="1"/>
  <c r="K10" i="39" s="1"/>
  <c r="F39" i="5"/>
  <c r="G39" i="5" s="1"/>
  <c r="P39" i="5" s="1"/>
  <c r="J39" i="5" s="1" a="1"/>
  <c r="J39" i="5" s="1"/>
  <c r="F19" i="5"/>
  <c r="G19" i="5" s="1"/>
  <c r="P19" i="5" s="1"/>
  <c r="J19" i="5" s="1" a="1"/>
  <c r="J19" i="5" s="1"/>
  <c r="F46" i="5"/>
  <c r="G46" i="5" s="1"/>
  <c r="P46" i="5" s="1"/>
  <c r="J46" i="5" s="1" a="1"/>
  <c r="J46" i="5" s="1"/>
  <c r="F14" i="5"/>
  <c r="G14" i="5" s="1"/>
  <c r="P14" i="5" s="1"/>
  <c r="F41" i="5"/>
  <c r="G41" i="5" s="1"/>
  <c r="P41" i="5" s="1"/>
  <c r="J41" i="5" s="1" a="1"/>
  <c r="J41" i="5" s="1"/>
  <c r="F21" i="5"/>
  <c r="G21" i="5" s="1"/>
  <c r="P21" i="5" s="1"/>
  <c r="N108" i="17"/>
  <c r="O108" i="17" s="1"/>
  <c r="N120" i="17"/>
  <c r="O120" i="17" s="1"/>
  <c r="D95" i="39" s="1"/>
  <c r="N159" i="17"/>
  <c r="O159" i="17" s="1"/>
  <c r="E27" i="39" s="1"/>
  <c r="N122" i="17"/>
  <c r="O122" i="17" s="1"/>
  <c r="D12" i="39" s="1"/>
  <c r="N107" i="17"/>
  <c r="O107" i="17" s="1"/>
  <c r="N169" i="17"/>
  <c r="O169" i="17" s="1"/>
  <c r="E112" i="39" s="1"/>
  <c r="N150" i="17"/>
  <c r="O150" i="17" s="1"/>
  <c r="E93" i="39" s="1"/>
  <c r="N127" i="17"/>
  <c r="O127" i="17" s="1"/>
  <c r="D27" i="39" s="1"/>
  <c r="N97" i="17"/>
  <c r="O97" i="17" s="1"/>
  <c r="N83" i="17"/>
  <c r="O83" i="17" s="1"/>
  <c r="C90" i="39" s="1"/>
  <c r="N171" i="17"/>
  <c r="O171" i="17" s="1"/>
  <c r="E39" i="39" s="1"/>
  <c r="H18" i="29"/>
  <c r="I18" i="29" s="1"/>
  <c r="H30" i="29"/>
  <c r="I30" i="29" s="1"/>
  <c r="H23" i="29"/>
  <c r="I23" i="29" s="1"/>
  <c r="H51" i="29"/>
  <c r="I51" i="29" s="1"/>
  <c r="H16" i="29"/>
  <c r="I16" i="29" s="1"/>
  <c r="H32" i="29"/>
  <c r="I32" i="29" s="1"/>
  <c r="H44" i="29"/>
  <c r="I44" i="29" s="1"/>
  <c r="H21" i="29"/>
  <c r="I21" i="29" s="1"/>
  <c r="H37" i="29"/>
  <c r="I37" i="29" s="1"/>
  <c r="H53" i="29"/>
  <c r="I53" i="29" s="1"/>
  <c r="J49" i="23"/>
  <c r="K49" i="23" s="1"/>
  <c r="J29" i="23"/>
  <c r="K29" i="23" s="1"/>
  <c r="J48" i="23"/>
  <c r="K48" i="23" s="1"/>
  <c r="J32" i="23"/>
  <c r="K32" i="23" s="1"/>
  <c r="J16" i="23"/>
  <c r="K16" i="23" s="1"/>
  <c r="K61" i="27"/>
  <c r="L61" i="27" s="1"/>
  <c r="K42" i="27"/>
  <c r="L42" i="27" s="1"/>
  <c r="K25" i="27"/>
  <c r="L25" i="27" s="1"/>
  <c r="K59" i="27"/>
  <c r="L59" i="27" s="1"/>
  <c r="K45" i="27"/>
  <c r="L45" i="27" s="1"/>
  <c r="K37" i="27"/>
  <c r="L37" i="27" s="1"/>
  <c r="N156" i="17"/>
  <c r="O156" i="17" s="1"/>
  <c r="N137" i="17"/>
  <c r="O137" i="17" s="1"/>
  <c r="D37" i="39" s="1"/>
  <c r="N84" i="17"/>
  <c r="O84" i="17" s="1"/>
  <c r="C16" i="39" s="1"/>
  <c r="N89" i="17"/>
  <c r="O89" i="17" s="1"/>
  <c r="C21" i="39" s="1"/>
  <c r="N101" i="17"/>
  <c r="O101" i="17" s="1"/>
  <c r="N165" i="17"/>
  <c r="O165" i="17" s="1"/>
  <c r="E33" i="39" s="1"/>
  <c r="N131" i="17"/>
  <c r="O131" i="17" s="1"/>
  <c r="D31" i="39" s="1"/>
  <c r="N98" i="17"/>
  <c r="O98" i="17" s="1"/>
  <c r="N147" i="17"/>
  <c r="O147" i="17" s="1"/>
  <c r="E90" i="39" s="1"/>
  <c r="N151" i="17"/>
  <c r="O151" i="17" s="1"/>
  <c r="E19" i="39" s="1"/>
  <c r="N158" i="17"/>
  <c r="O158" i="17" s="1"/>
  <c r="E101" i="39" s="1"/>
  <c r="N124" i="17"/>
  <c r="O124" i="17" s="1"/>
  <c r="D24" i="39" s="1"/>
  <c r="N95" i="17"/>
  <c r="O95" i="17" s="1"/>
  <c r="N114" i="17"/>
  <c r="O114" i="17" s="1"/>
  <c r="D14" i="39" s="1"/>
  <c r="N133" i="17"/>
  <c r="O133" i="17" s="1"/>
  <c r="D33" i="39" s="1"/>
  <c r="N160" i="17"/>
  <c r="O160" i="17" s="1"/>
  <c r="E103" i="39" s="1"/>
  <c r="N126" i="17"/>
  <c r="O126" i="17" s="1"/>
  <c r="D101" i="39" s="1"/>
  <c r="N85" i="17"/>
  <c r="O85" i="17" s="1"/>
  <c r="C92" i="39" s="1"/>
  <c r="N90" i="17"/>
  <c r="O90" i="17" s="1"/>
  <c r="C22" i="39" s="1"/>
  <c r="N105" i="17"/>
  <c r="O105" i="17" s="1"/>
  <c r="N168" i="17"/>
  <c r="O168" i="17" s="1"/>
  <c r="E111" i="39" s="1"/>
  <c r="N138" i="17"/>
  <c r="O138" i="17" s="1"/>
  <c r="D38" i="39" s="1"/>
  <c r="N102" i="17"/>
  <c r="O102" i="17" s="1"/>
  <c r="N148" i="17"/>
  <c r="O148" i="17" s="1"/>
  <c r="E91" i="39" s="1"/>
  <c r="N152" i="17"/>
  <c r="O152" i="17" s="1"/>
  <c r="E95" i="39" s="1"/>
  <c r="N162" i="17"/>
  <c r="O162" i="17" s="1"/>
  <c r="E30" i="39" s="1"/>
  <c r="N128" i="17"/>
  <c r="O128" i="17" s="1"/>
  <c r="D28" i="39" s="1"/>
  <c r="N99" i="17"/>
  <c r="O99" i="17" s="1"/>
  <c r="N155" i="17"/>
  <c r="O155" i="17" s="1"/>
  <c r="E23" i="39" s="1"/>
  <c r="N116" i="17"/>
  <c r="O116" i="17" s="1"/>
  <c r="D91" i="39" s="1"/>
  <c r="N140" i="17"/>
  <c r="O140" i="17" s="1"/>
  <c r="D40" i="39" s="1"/>
  <c r="N115" i="17"/>
  <c r="O115" i="17" s="1"/>
  <c r="D15" i="39" s="1"/>
  <c r="N125" i="17"/>
  <c r="O125" i="17" s="1"/>
  <c r="D25" i="39" s="1"/>
  <c r="F17" i="5"/>
  <c r="G17" i="5" s="1"/>
  <c r="P17" i="5" s="1"/>
  <c r="J17" i="5" s="1" a="1"/>
  <c r="J17" i="5" s="1"/>
  <c r="F33" i="5"/>
  <c r="G33" i="5" s="1"/>
  <c r="P33" i="5" s="1"/>
  <c r="J33" i="5" s="1" a="1"/>
  <c r="J33" i="5" s="1"/>
  <c r="F18" i="5"/>
  <c r="G18" i="5" s="1"/>
  <c r="P18" i="5" s="1"/>
  <c r="J18" i="5" s="1" a="1"/>
  <c r="J18" i="5" s="1"/>
  <c r="F30" i="5"/>
  <c r="G30" i="5" s="1"/>
  <c r="P30" i="5" s="1"/>
  <c r="F42" i="5"/>
  <c r="G42" i="5" s="1"/>
  <c r="P42" i="5" s="1"/>
  <c r="J42" i="5" s="1" a="1"/>
  <c r="J42" i="5" s="1"/>
  <c r="F50" i="5"/>
  <c r="G50" i="5" s="1"/>
  <c r="P50" i="5" s="1"/>
  <c r="J50" i="5" s="1" a="1"/>
  <c r="J50" i="5" s="1"/>
  <c r="F23" i="5"/>
  <c r="G23" i="5" s="1"/>
  <c r="P23" i="5" s="1"/>
  <c r="K17" i="39" s="1"/>
  <c r="F35" i="5"/>
  <c r="G35" i="5" s="1"/>
  <c r="P35" i="5" s="1"/>
  <c r="J35" i="5" s="1" a="1"/>
  <c r="J35" i="5" s="1"/>
  <c r="F51" i="5"/>
  <c r="G51" i="5" s="1"/>
  <c r="P51" i="5" s="1"/>
  <c r="J51" i="5" s="1" a="1"/>
  <c r="J51" i="5" s="1"/>
  <c r="F16" i="5"/>
  <c r="G16" i="5" s="1"/>
  <c r="P16" i="5" s="1"/>
  <c r="F32" i="5"/>
  <c r="G32" i="5" s="1"/>
  <c r="P32" i="5" s="1"/>
  <c r="J32" i="5" s="1" a="1"/>
  <c r="J32" i="5" s="1"/>
  <c r="F48" i="5"/>
  <c r="G48" i="5" s="1"/>
  <c r="P48" i="5" s="1"/>
  <c r="J48" i="5" s="1" a="1"/>
  <c r="J48" i="5" s="1"/>
  <c r="N109" i="17"/>
  <c r="O109" i="17" s="1"/>
  <c r="H27" i="10"/>
  <c r="F27" i="10" s="1" a="1"/>
  <c r="F27" i="10" s="1"/>
  <c r="K22" i="27"/>
  <c r="L22" i="27" s="1"/>
  <c r="K27" i="27"/>
  <c r="L27" i="27" s="1"/>
  <c r="J30" i="23"/>
  <c r="K30" i="23" s="1"/>
  <c r="J58" i="23"/>
  <c r="K58" i="23" s="1"/>
  <c r="K28" i="27"/>
  <c r="L28" i="27" s="1"/>
  <c r="K40" i="27"/>
  <c r="L40" i="27" s="1"/>
  <c r="K58" i="27"/>
  <c r="L58" i="27" s="1"/>
  <c r="J43" i="23"/>
  <c r="K43" i="23" s="1"/>
  <c r="J55" i="23"/>
  <c r="K55" i="23" s="1"/>
  <c r="K60" i="27"/>
  <c r="L60" i="27" s="1"/>
  <c r="K19" i="27"/>
  <c r="L19" i="27" s="1"/>
  <c r="I23" i="39" s="1"/>
  <c r="K34" i="27"/>
  <c r="L34" i="27" s="1"/>
  <c r="J28" i="23"/>
  <c r="K28" i="23" s="1"/>
  <c r="J44" i="23"/>
  <c r="K44" i="23" s="1"/>
  <c r="K56" i="27"/>
  <c r="L56" i="27" s="1"/>
  <c r="H52" i="29"/>
  <c r="I52" i="29" s="1"/>
  <c r="H36" i="29"/>
  <c r="I36" i="29" s="1"/>
  <c r="H59" i="29"/>
  <c r="I59" i="29" s="1"/>
  <c r="H43" i="29"/>
  <c r="I43" i="29" s="1"/>
  <c r="H27" i="29"/>
  <c r="I27" i="29" s="1"/>
  <c r="H54" i="29"/>
  <c r="I54" i="29" s="1"/>
  <c r="F44" i="5"/>
  <c r="G44" i="5" s="1"/>
  <c r="P44" i="5" s="1"/>
  <c r="J44" i="5" s="1" a="1"/>
  <c r="J44" i="5" s="1"/>
  <c r="F24" i="5"/>
  <c r="G24" i="5" s="1"/>
  <c r="P24" i="5" s="1"/>
  <c r="F31" i="5"/>
  <c r="G31" i="5" s="1"/>
  <c r="P31" i="5" s="1"/>
  <c r="J31" i="5" s="1" a="1"/>
  <c r="J31" i="5" s="1"/>
  <c r="F15" i="5"/>
  <c r="G15" i="5" s="1"/>
  <c r="P15" i="5" s="1"/>
  <c r="F26" i="5"/>
  <c r="G26" i="5" s="1"/>
  <c r="P26" i="5" s="1"/>
  <c r="J26" i="5" s="1" a="1"/>
  <c r="J26" i="5" s="1"/>
  <c r="F53" i="5"/>
  <c r="G53" i="5" s="1"/>
  <c r="P53" i="5" s="1"/>
  <c r="J53" i="5" s="1" a="1"/>
  <c r="J53" i="5" s="1"/>
  <c r="F37" i="5"/>
  <c r="G37" i="5" s="1"/>
  <c r="P37" i="5" s="1"/>
  <c r="J37" i="5" s="1" a="1"/>
  <c r="J37" i="5" s="1"/>
  <c r="N92" i="17"/>
  <c r="O92" i="17" s="1"/>
  <c r="C86" i="39" s="1"/>
  <c r="N118" i="17"/>
  <c r="O118" i="17" s="1"/>
  <c r="D93" i="39" s="1"/>
  <c r="N119" i="17"/>
  <c r="O119" i="17" s="1"/>
  <c r="D19" i="39" s="1"/>
  <c r="N103" i="17"/>
  <c r="O103" i="17" s="1"/>
  <c r="N166" i="17"/>
  <c r="O166" i="17" s="1"/>
  <c r="E11" i="39" s="1"/>
  <c r="N149" i="17"/>
  <c r="O149" i="17" s="1"/>
  <c r="E92" i="39" s="1"/>
  <c r="N106" i="17"/>
  <c r="O106" i="17" s="1"/>
  <c r="N172" i="17"/>
  <c r="O172" i="17" s="1"/>
  <c r="E115" i="39" s="1"/>
  <c r="N93" i="17"/>
  <c r="O93" i="17" s="1"/>
  <c r="N82" i="17"/>
  <c r="O82" i="17" s="1"/>
  <c r="N164" i="17"/>
  <c r="O164" i="17" s="1"/>
  <c r="E107" i="39" s="1"/>
  <c r="N62" i="3"/>
  <c r="S62" i="3" s="1" a="1"/>
  <c r="S62" i="3" s="1"/>
  <c r="R62" i="3" s="1"/>
  <c r="N63" i="3"/>
  <c r="S63" i="3" s="1" a="1"/>
  <c r="S63" i="3" s="1"/>
  <c r="R63" i="3" s="1"/>
  <c r="N28" i="3"/>
  <c r="S28" i="3" s="1" a="1"/>
  <c r="S28" i="3" s="1"/>
  <c r="R28" i="3" s="1"/>
  <c r="N67" i="3"/>
  <c r="S67" i="3" s="1" a="1"/>
  <c r="S67" i="3" s="1"/>
  <c r="R67" i="3" s="1"/>
  <c r="H38" i="16"/>
  <c r="L19" i="4"/>
  <c r="M19" i="4" s="1"/>
  <c r="O12" i="7"/>
  <c r="P12" i="7" s="1"/>
  <c r="J12" i="7" s="1" a="1"/>
  <c r="J12" i="7" s="1"/>
  <c r="O20" i="7"/>
  <c r="P20" i="7" s="1"/>
  <c r="L14" i="4"/>
  <c r="M14" i="4" s="1"/>
  <c r="B164" i="39" s="1"/>
  <c r="L18" i="4"/>
  <c r="M18" i="4" s="1"/>
  <c r="B168" i="39" s="1"/>
  <c r="F34" i="10" a="1"/>
  <c r="F34" i="10" s="1"/>
  <c r="L15" i="4"/>
  <c r="M15" i="4" s="1"/>
  <c r="B9" i="4" s="1"/>
  <c r="O18" i="7"/>
  <c r="P18" i="7" s="1"/>
  <c r="AA225" i="17"/>
  <c r="P225" i="17" s="1" a="1"/>
  <c r="P225" i="17" s="1"/>
  <c r="AA223" i="17"/>
  <c r="P223" i="17" s="1" a="1"/>
  <c r="P223" i="17" s="1"/>
  <c r="AA221" i="17"/>
  <c r="AA219" i="17"/>
  <c r="P219" i="17" s="1" a="1"/>
  <c r="P219" i="17" s="1"/>
  <c r="AA217" i="17"/>
  <c r="P217" i="17" s="1" a="1"/>
  <c r="P217" i="17" s="1"/>
  <c r="AA215" i="17"/>
  <c r="P215" i="17" s="1" a="1"/>
  <c r="P215" i="17" s="1"/>
  <c r="AA213" i="17"/>
  <c r="P213" i="17" s="1" a="1"/>
  <c r="P213" i="17" s="1"/>
  <c r="AA211" i="17"/>
  <c r="P211" i="17" s="1" a="1"/>
  <c r="P211" i="17" s="1"/>
  <c r="AA209" i="17"/>
  <c r="P209" i="17" s="1" a="1"/>
  <c r="P209" i="17" s="1"/>
  <c r="AA205" i="17"/>
  <c r="P205" i="17" s="1" a="1"/>
  <c r="P205" i="17" s="1"/>
  <c r="AA203" i="17"/>
  <c r="P203" i="17" s="1" a="1"/>
  <c r="P203" i="17" s="1"/>
  <c r="AA201" i="17"/>
  <c r="P201" i="17" s="1" a="1"/>
  <c r="P201" i="17" s="1"/>
  <c r="AA199" i="17"/>
  <c r="P199" i="17" s="1" a="1"/>
  <c r="P199" i="17" s="1"/>
  <c r="AA197" i="17"/>
  <c r="AA195" i="17"/>
  <c r="P195" i="17" s="1" a="1"/>
  <c r="P195" i="17" s="1"/>
  <c r="AA191" i="17"/>
  <c r="P191" i="17" s="1" a="1"/>
  <c r="P191" i="17" s="1"/>
  <c r="AA189" i="17"/>
  <c r="P189" i="17" s="1" a="1"/>
  <c r="P189" i="17" s="1"/>
  <c r="AA185" i="17"/>
  <c r="P185" i="17" s="1" a="1"/>
  <c r="P185" i="17" s="1"/>
  <c r="P177" i="17" a="1"/>
  <c r="P177" i="17" s="1"/>
  <c r="D50" i="39"/>
  <c r="AA226" i="17"/>
  <c r="P226" i="17" s="1" a="1"/>
  <c r="P226" i="17" s="1"/>
  <c r="AA224" i="17"/>
  <c r="P224" i="17" s="1" a="1"/>
  <c r="P224" i="17" s="1"/>
  <c r="AA222" i="17"/>
  <c r="P222" i="17" s="1" a="1"/>
  <c r="P222" i="17" s="1"/>
  <c r="AA218" i="17"/>
  <c r="P218" i="17" s="1" a="1"/>
  <c r="P218" i="17" s="1"/>
  <c r="AA214" i="17"/>
  <c r="P214" i="17" s="1" a="1"/>
  <c r="P214" i="17" s="1"/>
  <c r="AA212" i="17"/>
  <c r="P212" i="17" s="1" a="1"/>
  <c r="P212" i="17" s="1"/>
  <c r="AA210" i="17"/>
  <c r="P210" i="17" s="1" a="1"/>
  <c r="P210" i="17" s="1"/>
  <c r="AA206" i="17"/>
  <c r="P206" i="17" s="1" a="1"/>
  <c r="P206" i="17" s="1"/>
  <c r="AA204" i="17"/>
  <c r="AA202" i="17"/>
  <c r="AA198" i="17"/>
  <c r="P198" i="17" s="1" a="1"/>
  <c r="P198" i="17" s="1"/>
  <c r="AA196" i="17"/>
  <c r="P196" i="17" s="1" a="1"/>
  <c r="P196" i="17" s="1"/>
  <c r="AA194" i="17"/>
  <c r="P194" i="17" s="1" a="1"/>
  <c r="P194" i="17" s="1"/>
  <c r="AA192" i="17"/>
  <c r="P192" i="17" s="1" a="1"/>
  <c r="P192" i="17" s="1"/>
  <c r="AA190" i="17"/>
  <c r="P190" i="17" s="1" a="1"/>
  <c r="P190" i="17" s="1"/>
  <c r="AA186" i="17"/>
  <c r="P186" i="17" s="1" a="1"/>
  <c r="P186" i="17" s="1"/>
  <c r="AA184" i="17"/>
  <c r="P184" i="17" s="1" a="1"/>
  <c r="P184" i="17" s="1"/>
  <c r="AA182" i="17"/>
  <c r="P182" i="17" s="1" a="1"/>
  <c r="P182" i="17" s="1"/>
  <c r="AA180" i="17"/>
  <c r="P180" i="17" s="1" a="1"/>
  <c r="P180" i="17" s="1"/>
  <c r="AA178" i="17"/>
  <c r="B7" i="7"/>
  <c r="D45" i="45"/>
  <c r="H52" i="41" s="1"/>
  <c r="E5" i="42"/>
  <c r="E50" i="42"/>
  <c r="E48" i="42"/>
  <c r="E45" i="42"/>
  <c r="N13" i="31"/>
  <c r="M13" i="31"/>
  <c r="O11" i="39" s="1"/>
  <c r="F14" i="10" a="1"/>
  <c r="F14" i="10" s="1"/>
  <c r="B13" i="3"/>
  <c r="N18" i="39"/>
  <c r="N21" i="39"/>
  <c r="N16" i="39"/>
  <c r="N13" i="39"/>
  <c r="B166" i="39"/>
  <c r="B8" i="29"/>
  <c r="B8" i="23"/>
  <c r="I16" i="25"/>
  <c r="H50" i="39"/>
  <c r="B54" i="39"/>
  <c r="H47" i="39"/>
  <c r="N47" i="39"/>
  <c r="N49" i="39"/>
  <c r="E161" i="39"/>
  <c r="D161" i="39"/>
  <c r="D10" i="39"/>
  <c r="N10" i="39"/>
  <c r="B49" i="39"/>
  <c r="E48" i="39"/>
  <c r="F49" i="39"/>
  <c r="D48" i="39"/>
  <c r="M49" i="39"/>
  <c r="D47" i="39"/>
  <c r="C47" i="39"/>
  <c r="M47" i="39"/>
  <c r="B47" i="39"/>
  <c r="F47" i="39"/>
  <c r="K11" i="39"/>
  <c r="N11" i="39"/>
  <c r="N48" i="39"/>
  <c r="C162" i="39"/>
  <c r="F162" i="39"/>
  <c r="B162" i="39"/>
  <c r="F48" i="39"/>
  <c r="M48" i="39"/>
  <c r="D162" i="39"/>
  <c r="C48" i="39"/>
  <c r="H48" i="39"/>
  <c r="B10" i="39"/>
  <c r="F54" i="39"/>
  <c r="F55" i="39"/>
  <c r="F23" i="39"/>
  <c r="F53" i="39"/>
  <c r="F58" i="39"/>
  <c r="F59" i="39"/>
  <c r="D60" i="39"/>
  <c r="B58" i="39"/>
  <c r="B51" i="39"/>
  <c r="B59" i="39"/>
  <c r="C54" i="39"/>
  <c r="C53" i="39"/>
  <c r="C18" i="39"/>
  <c r="C23" i="39"/>
  <c r="C52" i="39"/>
  <c r="C57" i="39"/>
  <c r="C20" i="39"/>
  <c r="C59" i="39"/>
  <c r="B56" i="39"/>
  <c r="E56" i="39"/>
  <c r="K52" i="39"/>
  <c r="M52" i="39"/>
  <c r="C168" i="39"/>
  <c r="C176" i="39"/>
  <c r="M56" i="39"/>
  <c r="E22" i="39"/>
  <c r="E26" i="39"/>
  <c r="E24" i="39"/>
  <c r="D26" i="39"/>
  <c r="B24" i="39"/>
  <c r="H57" i="39"/>
  <c r="B174" i="39"/>
  <c r="D172" i="39"/>
  <c r="D176" i="39"/>
  <c r="E176" i="39"/>
  <c r="B172" i="39"/>
  <c r="E168" i="39"/>
  <c r="K22" i="39"/>
  <c r="O26" i="39"/>
  <c r="O24" i="39"/>
  <c r="O22" i="39"/>
  <c r="C174" i="39"/>
  <c r="C172" i="39"/>
  <c r="B57" i="39"/>
  <c r="N24" i="39"/>
  <c r="I24" i="39"/>
  <c r="F26" i="39"/>
  <c r="B22" i="39"/>
  <c r="D174" i="39"/>
  <c r="E172" i="39"/>
  <c r="K26" i="39"/>
  <c r="K24" i="39"/>
  <c r="N56" i="39"/>
  <c r="B26" i="39"/>
  <c r="J22" i="39"/>
  <c r="J24" i="39"/>
  <c r="N22" i="39"/>
  <c r="C61" i="39"/>
  <c r="K19" i="39"/>
  <c r="B9" i="27"/>
  <c r="B9" i="2"/>
  <c r="B8" i="2"/>
  <c r="H15" i="39"/>
  <c r="D51" i="39"/>
  <c r="C166" i="39"/>
  <c r="N51" i="39"/>
  <c r="N20" i="39"/>
  <c r="D170" i="39"/>
  <c r="F166" i="39"/>
  <c r="E166" i="39"/>
  <c r="K15" i="39"/>
  <c r="C15" i="39"/>
  <c r="C51" i="39"/>
  <c r="H51" i="39"/>
  <c r="K51" i="39"/>
  <c r="F57" i="39"/>
  <c r="N57" i="39"/>
  <c r="J20" i="39"/>
  <c r="B20" i="39"/>
  <c r="D57" i="39"/>
  <c r="D166" i="39"/>
  <c r="D171" i="39"/>
  <c r="B171" i="39"/>
  <c r="K57" i="39"/>
  <c r="H20" i="39"/>
  <c r="E51" i="39"/>
  <c r="J15" i="39"/>
  <c r="N17" i="39"/>
  <c r="M57" i="39"/>
  <c r="E57" i="39"/>
  <c r="E20" i="39"/>
  <c r="B170" i="39"/>
  <c r="K20" i="39"/>
  <c r="O13" i="39"/>
  <c r="B52" i="39"/>
  <c r="B16" i="39"/>
  <c r="F170" i="39"/>
  <c r="E170" i="39"/>
  <c r="B169" i="39"/>
  <c r="K55" i="39"/>
  <c r="C55" i="39"/>
  <c r="B55" i="39"/>
  <c r="H55" i="39"/>
  <c r="D169" i="39"/>
  <c r="F169" i="39"/>
  <c r="D55" i="39"/>
  <c r="N55" i="39"/>
  <c r="C169" i="39"/>
  <c r="J17" i="39"/>
  <c r="F17" i="39"/>
  <c r="H17" i="39"/>
  <c r="I17" i="39"/>
  <c r="B17" i="39"/>
  <c r="C17" i="39"/>
  <c r="E17" i="39"/>
  <c r="K14" i="39"/>
  <c r="H14" i="39"/>
  <c r="N14" i="39"/>
  <c r="AA207" i="17"/>
  <c r="P207" i="17" s="1" a="1"/>
  <c r="P207" i="17" s="1"/>
  <c r="AA181" i="17"/>
  <c r="P181" i="17" s="1" a="1"/>
  <c r="P181" i="17" s="1"/>
  <c r="D13" i="39"/>
  <c r="B13" i="39"/>
  <c r="K50" i="39"/>
  <c r="F50" i="39"/>
  <c r="E50" i="39"/>
  <c r="M50" i="39"/>
  <c r="N50" i="39"/>
  <c r="E164" i="39"/>
  <c r="F164" i="39"/>
  <c r="C164" i="39"/>
  <c r="D164" i="39"/>
  <c r="Z221" i="17"/>
  <c r="AA208" i="17"/>
  <c r="P208" i="17" s="1" a="1"/>
  <c r="P208" i="17" s="1"/>
  <c r="Z204" i="17"/>
  <c r="AA200" i="17"/>
  <c r="P200" i="17" s="1" a="1"/>
  <c r="P200" i="17" s="1"/>
  <c r="Z179" i="17"/>
  <c r="P179" i="17" s="1" a="1"/>
  <c r="P179" i="17" s="1"/>
  <c r="Z197" i="17"/>
  <c r="AA187" i="17"/>
  <c r="P187" i="17" s="1" a="1"/>
  <c r="P187" i="17" s="1"/>
  <c r="AA183" i="17"/>
  <c r="P183" i="17" s="1" a="1"/>
  <c r="P183" i="17" s="1"/>
  <c r="AA216" i="17"/>
  <c r="P216" i="17" s="1" a="1"/>
  <c r="P216" i="17" s="1"/>
  <c r="Z202" i="17"/>
  <c r="AA193" i="17"/>
  <c r="P193" i="17" s="1" a="1"/>
  <c r="P193" i="17" s="1"/>
  <c r="Z178" i="17"/>
  <c r="AA188" i="17"/>
  <c r="P188" i="17" s="1" a="1"/>
  <c r="P188" i="17" s="1"/>
  <c r="AA220" i="17"/>
  <c r="P220" i="17" s="1" a="1"/>
  <c r="P220" i="17" s="1"/>
  <c r="I13" i="39" l="1"/>
  <c r="J10" i="39"/>
  <c r="G15" i="25"/>
  <c r="M15" i="25"/>
  <c r="L15" i="25" s="1"/>
  <c r="G14" i="25"/>
  <c r="B123" i="39"/>
  <c r="I123" i="39" s="1"/>
  <c r="R13" i="3"/>
  <c r="S13" i="3"/>
  <c r="F24" i="39"/>
  <c r="P24" i="39" s="1"/>
  <c r="J11" i="39"/>
  <c r="J28" i="39"/>
  <c r="J13" i="39"/>
  <c r="I28" i="39"/>
  <c r="F88" i="39"/>
  <c r="F91" i="39"/>
  <c r="F27" i="39"/>
  <c r="P27" i="39" s="1"/>
  <c r="F100" i="39"/>
  <c r="F95" i="39"/>
  <c r="O187" i="38"/>
  <c r="P187" i="38" s="1"/>
  <c r="O53" i="38"/>
  <c r="P53" i="38" s="1"/>
  <c r="O182" i="38"/>
  <c r="P182" i="38" s="1"/>
  <c r="O207" i="38"/>
  <c r="P207" i="38" s="1"/>
  <c r="O76" i="38"/>
  <c r="P76" i="38" s="1"/>
  <c r="O103" i="38"/>
  <c r="P103" i="38" s="1"/>
  <c r="O141" i="38"/>
  <c r="P141" i="38" s="1"/>
  <c r="O184" i="38"/>
  <c r="P184" i="38" s="1"/>
  <c r="O86" i="38"/>
  <c r="P86" i="38" s="1"/>
  <c r="O58" i="38"/>
  <c r="P58" i="38" s="1"/>
  <c r="O107" i="38"/>
  <c r="P107" i="38" s="1"/>
  <c r="O71" i="38"/>
  <c r="P71" i="38" s="1"/>
  <c r="O108" i="38"/>
  <c r="P108" i="38" s="1"/>
  <c r="O179" i="38"/>
  <c r="P179" i="38" s="1"/>
  <c r="O164" i="38"/>
  <c r="P164" i="38" s="1"/>
  <c r="O68" i="38"/>
  <c r="P68" i="38" s="1"/>
  <c r="O79" i="38"/>
  <c r="P79" i="38" s="1"/>
  <c r="O146" i="38"/>
  <c r="P146" i="38" s="1"/>
  <c r="O227" i="38"/>
  <c r="P227" i="38" s="1"/>
  <c r="O51" i="38"/>
  <c r="P51" i="38" s="1"/>
  <c r="O45" i="38"/>
  <c r="P45" i="38" s="1"/>
  <c r="O135" i="38"/>
  <c r="P135" i="38" s="1"/>
  <c r="O90" i="38"/>
  <c r="P90" i="38" s="1"/>
  <c r="O149" i="38"/>
  <c r="P149" i="38" s="1"/>
  <c r="O138" i="38"/>
  <c r="P138" i="38" s="1"/>
  <c r="O118" i="38"/>
  <c r="P118" i="38" s="1"/>
  <c r="O209" i="38"/>
  <c r="P209" i="38" s="1"/>
  <c r="O102" i="38"/>
  <c r="P102" i="38" s="1"/>
  <c r="O48" i="38"/>
  <c r="P48" i="38" s="1"/>
  <c r="O106" i="38"/>
  <c r="P106" i="38" s="1"/>
  <c r="O36" i="38"/>
  <c r="P36" i="38" s="1"/>
  <c r="O75" i="38"/>
  <c r="P75" i="38" s="1"/>
  <c r="O177" i="38"/>
  <c r="P177" i="38" s="1"/>
  <c r="O178" i="38"/>
  <c r="P178" i="38" s="1"/>
  <c r="O203" i="38"/>
  <c r="P203" i="38" s="1"/>
  <c r="O82" i="38"/>
  <c r="P82" i="38" s="1"/>
  <c r="O96" i="38"/>
  <c r="P96" i="38" s="1"/>
  <c r="O74" i="38"/>
  <c r="P74" i="38" s="1"/>
  <c r="O156" i="38"/>
  <c r="P156" i="38" s="1"/>
  <c r="O83" i="38"/>
  <c r="P83" i="38" s="1"/>
  <c r="O196" i="38"/>
  <c r="P196" i="38" s="1"/>
  <c r="O49" i="38"/>
  <c r="P49" i="38" s="1"/>
  <c r="O99" i="38"/>
  <c r="P99" i="38" s="1"/>
  <c r="O104" i="38"/>
  <c r="P104" i="38" s="1"/>
  <c r="O69" i="38"/>
  <c r="P69" i="38" s="1"/>
  <c r="O226" i="38"/>
  <c r="P226" i="38" s="1"/>
  <c r="O145" i="38"/>
  <c r="P145" i="38" s="1"/>
  <c r="O56" i="38"/>
  <c r="P56" i="38" s="1"/>
  <c r="O137" i="38"/>
  <c r="P137" i="38" s="1"/>
  <c r="O206" i="38"/>
  <c r="P206" i="38" s="1"/>
  <c r="O32" i="38"/>
  <c r="P32" i="38" s="1"/>
  <c r="O34" i="38"/>
  <c r="P34" i="38" s="1"/>
  <c r="O173" i="38"/>
  <c r="P173" i="38" s="1"/>
  <c r="O212" i="38"/>
  <c r="P212" i="38" s="1"/>
  <c r="O38" i="38"/>
  <c r="P38" i="38" s="1"/>
  <c r="O50" i="38"/>
  <c r="P50" i="38" s="1"/>
  <c r="O123" i="38"/>
  <c r="P123" i="38" s="1"/>
  <c r="O140" i="38"/>
  <c r="P140" i="38" s="1"/>
  <c r="O191" i="38"/>
  <c r="P191" i="38" s="1"/>
  <c r="O78" i="38"/>
  <c r="P78" i="38" s="1"/>
  <c r="O147" i="38"/>
  <c r="P147" i="38" s="1"/>
  <c r="O110" i="38"/>
  <c r="P110" i="38" s="1"/>
  <c r="O185" i="38"/>
  <c r="P185" i="38" s="1"/>
  <c r="O52" i="38"/>
  <c r="P52" i="38" s="1"/>
  <c r="O41" i="38"/>
  <c r="P41" i="38" s="1"/>
  <c r="O73" i="38"/>
  <c r="P73" i="38" s="1"/>
  <c r="O208" i="38"/>
  <c r="P208" i="38" s="1"/>
  <c r="O213" i="38"/>
  <c r="P213" i="38" s="1"/>
  <c r="N23" i="38"/>
  <c r="O222" i="38"/>
  <c r="P222" i="38" s="1"/>
  <c r="O180" i="38"/>
  <c r="P180" i="38" s="1"/>
  <c r="O144" i="38"/>
  <c r="P144" i="38" s="1"/>
  <c r="O165" i="38"/>
  <c r="P165" i="38" s="1"/>
  <c r="O92" i="38"/>
  <c r="P92" i="38" s="1"/>
  <c r="O60" i="38"/>
  <c r="P60" i="38" s="1"/>
  <c r="O163" i="38"/>
  <c r="P163" i="38" s="1"/>
  <c r="O70" i="38"/>
  <c r="P70" i="38" s="1"/>
  <c r="O152" i="38"/>
  <c r="P152" i="38" s="1"/>
  <c r="O55" i="38"/>
  <c r="P55" i="38" s="1"/>
  <c r="O101" i="38"/>
  <c r="P101" i="38" s="1"/>
  <c r="N21" i="38"/>
  <c r="O46" i="38"/>
  <c r="P46" i="38" s="1"/>
  <c r="O181" i="38"/>
  <c r="P181" i="38" s="1"/>
  <c r="O87" i="38"/>
  <c r="P87" i="38" s="1"/>
  <c r="N18" i="38"/>
  <c r="O105" i="38"/>
  <c r="P105" i="38" s="1"/>
  <c r="O63" i="38"/>
  <c r="P63" i="38" s="1"/>
  <c r="O35" i="38"/>
  <c r="P35" i="38" s="1"/>
  <c r="O176" i="38"/>
  <c r="P176" i="38" s="1"/>
  <c r="O129" i="38"/>
  <c r="P129" i="38" s="1"/>
  <c r="O151" i="38"/>
  <c r="P151" i="38" s="1"/>
  <c r="O64" i="38"/>
  <c r="P64" i="38" s="1"/>
  <c r="O157" i="38"/>
  <c r="P157" i="38" s="1"/>
  <c r="O61" i="38"/>
  <c r="P61" i="38" s="1"/>
  <c r="O186" i="38"/>
  <c r="P186" i="38" s="1"/>
  <c r="O158" i="38"/>
  <c r="P158" i="38" s="1"/>
  <c r="O134" i="38"/>
  <c r="P134" i="38" s="1"/>
  <c r="O72" i="38"/>
  <c r="P72" i="38" s="1"/>
  <c r="O214" i="38"/>
  <c r="P214" i="38" s="1"/>
  <c r="O194" i="38"/>
  <c r="P194" i="38" s="1"/>
  <c r="O130" i="38"/>
  <c r="P130" i="38" s="1"/>
  <c r="O192" i="38"/>
  <c r="P192" i="38" s="1"/>
  <c r="O33" i="38"/>
  <c r="P33" i="38" s="1"/>
  <c r="O95" i="38"/>
  <c r="P95" i="38" s="1"/>
  <c r="O91" i="38"/>
  <c r="P91" i="38" s="1"/>
  <c r="O57" i="38"/>
  <c r="P57" i="38" s="1"/>
  <c r="O88" i="38"/>
  <c r="P88" i="38" s="1"/>
  <c r="O159" i="38"/>
  <c r="P159" i="38" s="1"/>
  <c r="N24" i="38"/>
  <c r="O216" i="38"/>
  <c r="P216" i="38" s="1"/>
  <c r="O162" i="38"/>
  <c r="P162" i="38" s="1"/>
  <c r="O225" i="38"/>
  <c r="P225" i="38" s="1"/>
  <c r="O85" i="38"/>
  <c r="P85" i="38" s="1"/>
  <c r="O201" i="38"/>
  <c r="P201" i="38" s="1"/>
  <c r="O161" i="38"/>
  <c r="P161" i="38" s="1"/>
  <c r="O120" i="38"/>
  <c r="P120" i="38" s="1"/>
  <c r="O43" i="38"/>
  <c r="P43" i="38" s="1"/>
  <c r="O128" i="38"/>
  <c r="P128" i="38" s="1"/>
  <c r="O183" i="38"/>
  <c r="P183" i="38" s="1"/>
  <c r="O114" i="38"/>
  <c r="P114" i="38" s="1"/>
  <c r="O31" i="38"/>
  <c r="P31" i="38" s="1"/>
  <c r="O148" i="38"/>
  <c r="P148" i="38" s="1"/>
  <c r="O197" i="38"/>
  <c r="P197" i="38" s="1"/>
  <c r="O81" i="38"/>
  <c r="P81" i="38" s="1"/>
  <c r="O171" i="38"/>
  <c r="P171" i="38" s="1"/>
  <c r="O210" i="38"/>
  <c r="P210" i="38" s="1"/>
  <c r="O153" i="38"/>
  <c r="P153" i="38" s="1"/>
  <c r="N20" i="38"/>
  <c r="O150" i="38"/>
  <c r="P150" i="38" s="1"/>
  <c r="O126" i="38"/>
  <c r="P126" i="38" s="1"/>
  <c r="I11" i="10"/>
  <c r="F11" i="10" s="1" a="1"/>
  <c r="F11" i="10" s="1"/>
  <c r="B7" i="10" s="1"/>
  <c r="F85" i="39"/>
  <c r="O8" i="25"/>
  <c r="I11" i="39"/>
  <c r="H88" i="39"/>
  <c r="J18" i="39"/>
  <c r="I16" i="39"/>
  <c r="F18" i="39"/>
  <c r="F93" i="39"/>
  <c r="I93" i="39" s="1"/>
  <c r="U12" i="17"/>
  <c r="Q19" i="25"/>
  <c r="N8" i="29"/>
  <c r="P16" i="25"/>
  <c r="O8" i="23"/>
  <c r="Y9" i="2"/>
  <c r="V12" i="17"/>
  <c r="J22" i="5" a="1"/>
  <c r="J22" i="5" s="1"/>
  <c r="X9" i="2"/>
  <c r="M8" i="29"/>
  <c r="P19" i="25"/>
  <c r="O16" i="25"/>
  <c r="N8" i="23"/>
  <c r="Q16" i="25"/>
  <c r="P8" i="23"/>
  <c r="P6" i="25"/>
  <c r="Q6" i="25"/>
  <c r="O6" i="25"/>
  <c r="W12" i="17"/>
  <c r="O19" i="25"/>
  <c r="L8" i="29"/>
  <c r="J17" i="7" a="1"/>
  <c r="J17" i="7" s="1"/>
  <c r="P8" i="25"/>
  <c r="B7" i="3"/>
  <c r="M8" i="25" s="1"/>
  <c r="L8" i="25" s="1"/>
  <c r="B165" i="39"/>
  <c r="B194" i="39" s="1"/>
  <c r="J21" i="5" a="1"/>
  <c r="J21" i="5" s="1"/>
  <c r="V21" i="5"/>
  <c r="K16" i="39"/>
  <c r="J20" i="5" a="1"/>
  <c r="J20" i="5" s="1"/>
  <c r="V20" i="5"/>
  <c r="J11" i="5" a="1"/>
  <c r="J11" i="5" s="1"/>
  <c r="V11" i="5"/>
  <c r="J13" i="5" a="1"/>
  <c r="J13" i="5" s="1"/>
  <c r="V13" i="5"/>
  <c r="J24" i="5" a="1"/>
  <c r="J24" i="5" s="1"/>
  <c r="V24" i="5"/>
  <c r="J15" i="5" a="1"/>
  <c r="J15" i="5" s="1"/>
  <c r="V15" i="5"/>
  <c r="J23" i="5" a="1"/>
  <c r="J23" i="5" s="1"/>
  <c r="V23" i="5"/>
  <c r="J14" i="5" a="1"/>
  <c r="J14" i="5" s="1"/>
  <c r="V14" i="5"/>
  <c r="J12" i="5" a="1"/>
  <c r="J12" i="5" s="1"/>
  <c r="V12" i="5"/>
  <c r="K13" i="39"/>
  <c r="J16" i="5" a="1"/>
  <c r="J16" i="5" s="1"/>
  <c r="V16" i="5"/>
  <c r="F97" i="39"/>
  <c r="F22" i="39"/>
  <c r="D22" i="39"/>
  <c r="D97" i="39"/>
  <c r="C96" i="39"/>
  <c r="C91" i="39"/>
  <c r="C89" i="39"/>
  <c r="E15" i="39"/>
  <c r="D41" i="39"/>
  <c r="D114" i="39"/>
  <c r="D16" i="39"/>
  <c r="D107" i="39"/>
  <c r="I107" i="39" s="1"/>
  <c r="E40" i="39"/>
  <c r="E18" i="39"/>
  <c r="E87" i="39"/>
  <c r="E13" i="39"/>
  <c r="E10" i="39"/>
  <c r="E96" i="39"/>
  <c r="E110" i="39"/>
  <c r="D89" i="39"/>
  <c r="D17" i="39"/>
  <c r="D106" i="39"/>
  <c r="D90" i="39"/>
  <c r="D100" i="39"/>
  <c r="D18" i="39"/>
  <c r="D112" i="39"/>
  <c r="I112" i="39" s="1"/>
  <c r="D113" i="39"/>
  <c r="D117" i="39"/>
  <c r="D110" i="39"/>
  <c r="D99" i="39"/>
  <c r="I99" i="39" s="1"/>
  <c r="D103" i="39"/>
  <c r="I103" i="39" s="1"/>
  <c r="D115" i="39"/>
  <c r="I115" i="39" s="1"/>
  <c r="D108" i="39"/>
  <c r="D105" i="39"/>
  <c r="D94" i="39"/>
  <c r="D102" i="39"/>
  <c r="D87" i="39"/>
  <c r="D111" i="39"/>
  <c r="I111" i="39" s="1"/>
  <c r="D86" i="39"/>
  <c r="E106" i="39"/>
  <c r="E28" i="39"/>
  <c r="E32" i="39"/>
  <c r="P32" i="39" s="1"/>
  <c r="E36" i="39"/>
  <c r="P36" i="39" s="1"/>
  <c r="E100" i="39"/>
  <c r="E108" i="39"/>
  <c r="E105" i="39"/>
  <c r="E94" i="39"/>
  <c r="E114" i="39"/>
  <c r="E14" i="39"/>
  <c r="E86" i="39"/>
  <c r="E117" i="39"/>
  <c r="E98" i="39"/>
  <c r="I98" i="39" s="1"/>
  <c r="E41" i="39"/>
  <c r="E16" i="39"/>
  <c r="E37" i="39"/>
  <c r="E113" i="39"/>
  <c r="E102" i="39"/>
  <c r="I124" i="39"/>
  <c r="G37" i="39"/>
  <c r="G95" i="39"/>
  <c r="B11" i="3"/>
  <c r="I109" i="39"/>
  <c r="S13" i="2"/>
  <c r="W9" i="2"/>
  <c r="B7" i="27"/>
  <c r="J30" i="5" a="1"/>
  <c r="J30" i="5" s="1"/>
  <c r="V30" i="5"/>
  <c r="I141" i="39"/>
  <c r="I155" i="39"/>
  <c r="G34" i="16"/>
  <c r="I146" i="39"/>
  <c r="F38" i="16"/>
  <c r="F34" i="16"/>
  <c r="I142" i="39"/>
  <c r="C85" i="39"/>
  <c r="C10" i="39"/>
  <c r="C87" i="39"/>
  <c r="C12" i="39"/>
  <c r="C11" i="39"/>
  <c r="I101" i="39"/>
  <c r="I116" i="39"/>
  <c r="I151" i="39"/>
  <c r="I135" i="39"/>
  <c r="I131" i="39"/>
  <c r="I143" i="39"/>
  <c r="I104" i="39"/>
  <c r="I144" i="39"/>
  <c r="F16" i="39"/>
  <c r="F15" i="39"/>
  <c r="G16" i="39"/>
  <c r="G10" i="39"/>
  <c r="G12" i="39"/>
  <c r="G40" i="39"/>
  <c r="G31" i="39"/>
  <c r="G18" i="39"/>
  <c r="G15" i="39"/>
  <c r="G11" i="39"/>
  <c r="G25" i="39"/>
  <c r="G11" i="25"/>
  <c r="G29" i="25" s="1"/>
  <c r="G13" i="39"/>
  <c r="I152" i="39"/>
  <c r="I154" i="39"/>
  <c r="I148" i="39"/>
  <c r="I153" i="39"/>
  <c r="F19" i="39"/>
  <c r="P19" i="39" s="1"/>
  <c r="F25" i="39"/>
  <c r="F42" i="39"/>
  <c r="P42" i="39" s="1"/>
  <c r="F21" i="39"/>
  <c r="F40" i="39"/>
  <c r="F31" i="39"/>
  <c r="I149" i="39"/>
  <c r="B50" i="39"/>
  <c r="B80" i="39" s="1"/>
  <c r="I138" i="39"/>
  <c r="P221" i="17" a="1"/>
  <c r="P221" i="17" s="1"/>
  <c r="I150" i="39"/>
  <c r="I140" i="39"/>
  <c r="I137" i="39"/>
  <c r="I147" i="39"/>
  <c r="I145" i="39"/>
  <c r="C10" i="48"/>
  <c r="F10" i="39"/>
  <c r="F11" i="39"/>
  <c r="G156" i="39"/>
  <c r="G80" i="39"/>
  <c r="B6" i="7"/>
  <c r="G7" i="25" s="1"/>
  <c r="B7" i="23"/>
  <c r="I125" i="39"/>
  <c r="I92" i="39"/>
  <c r="P204" i="17" a="1"/>
  <c r="P204" i="17" s="1"/>
  <c r="P202" i="17" a="1"/>
  <c r="P202" i="17" s="1"/>
  <c r="P197" i="17" a="1"/>
  <c r="P197" i="17" s="1"/>
  <c r="P178" i="17" a="1"/>
  <c r="P178" i="17" s="1"/>
  <c r="F13" i="39"/>
  <c r="E80" i="39"/>
  <c r="B6" i="5"/>
  <c r="G9" i="25" s="1"/>
  <c r="B13" i="48" s="1"/>
  <c r="B7" i="29"/>
  <c r="M19" i="25" s="1"/>
  <c r="L19" i="25" s="1"/>
  <c r="L13" i="39"/>
  <c r="B6" i="3"/>
  <c r="N15" i="39"/>
  <c r="B8" i="4"/>
  <c r="I17" i="25" s="1"/>
  <c r="H18" i="39"/>
  <c r="D20" i="39"/>
  <c r="P20" i="39" s="1"/>
  <c r="D21" i="39"/>
  <c r="F14" i="39"/>
  <c r="C14" i="39"/>
  <c r="C13" i="39"/>
  <c r="L11" i="39"/>
  <c r="J18" i="7" a="1"/>
  <c r="J18" i="7" s="1"/>
  <c r="J20" i="7" a="1"/>
  <c r="J20" i="7" s="1"/>
  <c r="L17" i="39"/>
  <c r="O10" i="39"/>
  <c r="O14" i="39"/>
  <c r="I136" i="39"/>
  <c r="F156" i="39"/>
  <c r="I129" i="39"/>
  <c r="I130" i="39"/>
  <c r="I139" i="39"/>
  <c r="B7" i="31"/>
  <c r="B8" i="31"/>
  <c r="N80" i="39"/>
  <c r="H156" i="39"/>
  <c r="K80" i="39"/>
  <c r="H80" i="39"/>
  <c r="I134" i="39"/>
  <c r="I133" i="39"/>
  <c r="M80" i="39"/>
  <c r="D80" i="39"/>
  <c r="D156" i="39"/>
  <c r="C80" i="39"/>
  <c r="I132" i="39"/>
  <c r="F80" i="39"/>
  <c r="I128" i="39"/>
  <c r="D194" i="39"/>
  <c r="B43" i="39"/>
  <c r="B118" i="39"/>
  <c r="E194" i="39"/>
  <c r="F194" i="39"/>
  <c r="C194" i="39"/>
  <c r="E156" i="39"/>
  <c r="I127" i="39"/>
  <c r="C156" i="39"/>
  <c r="I126" i="39"/>
  <c r="P39" i="39"/>
  <c r="P34" i="39"/>
  <c r="P33" i="39"/>
  <c r="P29" i="39"/>
  <c r="P23" i="39"/>
  <c r="P30" i="39"/>
  <c r="P26" i="39"/>
  <c r="P38" i="39"/>
  <c r="P35" i="39"/>
  <c r="B156" i="39" l="1"/>
  <c r="B14" i="48"/>
  <c r="H28" i="39"/>
  <c r="P28" i="39" s="1"/>
  <c r="H10" i="39"/>
  <c r="P10" i="39" s="1"/>
  <c r="I91" i="39"/>
  <c r="Q13" i="25"/>
  <c r="Q22" i="25" s="1"/>
  <c r="P13" i="25"/>
  <c r="O13" i="25"/>
  <c r="J43" i="39"/>
  <c r="C12" i="48" s="1"/>
  <c r="I95" i="39"/>
  <c r="I85" i="39"/>
  <c r="B6" i="10"/>
  <c r="F23" i="41" s="1"/>
  <c r="P22" i="39"/>
  <c r="K43" i="39"/>
  <c r="C13" i="48" s="1"/>
  <c r="I43" i="39"/>
  <c r="H13" i="39"/>
  <c r="P13" i="39" s="1"/>
  <c r="H11" i="39"/>
  <c r="P11" i="39" s="1"/>
  <c r="P18" i="25"/>
  <c r="I110" i="39"/>
  <c r="O18" i="25"/>
  <c r="V7" i="5"/>
  <c r="C9" i="48"/>
  <c r="I97" i="39"/>
  <c r="G8" i="25"/>
  <c r="B7" i="5"/>
  <c r="M9" i="25" s="1"/>
  <c r="L9" i="25" s="1"/>
  <c r="Q9" i="25"/>
  <c r="B6" i="17"/>
  <c r="P37" i="39"/>
  <c r="I108" i="39"/>
  <c r="I106" i="39"/>
  <c r="I114" i="39"/>
  <c r="P41" i="39"/>
  <c r="P17" i="39"/>
  <c r="I117" i="39"/>
  <c r="E118" i="39"/>
  <c r="I94" i="39"/>
  <c r="I113" i="39"/>
  <c r="I105" i="39"/>
  <c r="I102" i="39"/>
  <c r="E43" i="39"/>
  <c r="P5" i="25"/>
  <c r="P12" i="25" s="1"/>
  <c r="Q5" i="25"/>
  <c r="O5" i="25"/>
  <c r="O12" i="25" s="1"/>
  <c r="P31" i="39"/>
  <c r="P12" i="39"/>
  <c r="B6" i="2"/>
  <c r="M6" i="25" s="1"/>
  <c r="L6" i="25" s="1"/>
  <c r="B7" i="2"/>
  <c r="G19" i="25"/>
  <c r="E38" i="16"/>
  <c r="E34" i="16"/>
  <c r="P18" i="39"/>
  <c r="L61" i="39"/>
  <c r="P61" i="39" s="1"/>
  <c r="L54" i="39"/>
  <c r="P54" i="39" s="1"/>
  <c r="G18" i="25"/>
  <c r="M18" i="25"/>
  <c r="L18" i="25" s="1"/>
  <c r="G16" i="25"/>
  <c r="B12" i="48" s="1"/>
  <c r="M16" i="25"/>
  <c r="L16" i="25" s="1"/>
  <c r="P16" i="39"/>
  <c r="I90" i="39"/>
  <c r="P40" i="39"/>
  <c r="I87" i="39"/>
  <c r="P15" i="39"/>
  <c r="I100" i="39"/>
  <c r="G118" i="39"/>
  <c r="I89" i="39"/>
  <c r="G43" i="39"/>
  <c r="P25" i="39"/>
  <c r="I86" i="39"/>
  <c r="N43" i="39"/>
  <c r="C15" i="48" s="1"/>
  <c r="F118" i="39"/>
  <c r="B8" i="17"/>
  <c r="B7" i="17"/>
  <c r="I96" i="39"/>
  <c r="F43" i="39"/>
  <c r="L68" i="39"/>
  <c r="P68" i="39" s="1"/>
  <c r="L64" i="39"/>
  <c r="P64" i="39" s="1"/>
  <c r="L57" i="39"/>
  <c r="P57" i="39" s="1"/>
  <c r="L60" i="39"/>
  <c r="P60" i="39" s="1"/>
  <c r="P14" i="39"/>
  <c r="L62" i="39"/>
  <c r="P62" i="39" s="1"/>
  <c r="L55" i="39"/>
  <c r="P55" i="39" s="1"/>
  <c r="L48" i="39"/>
  <c r="P48" i="39" s="1"/>
  <c r="L70" i="39"/>
  <c r="P70" i="39" s="1"/>
  <c r="L77" i="39"/>
  <c r="P77" i="39" s="1"/>
  <c r="L49" i="39"/>
  <c r="P49" i="39" s="1"/>
  <c r="L71" i="39"/>
  <c r="P71" i="39" s="1"/>
  <c r="L63" i="39"/>
  <c r="P63" i="39" s="1"/>
  <c r="L69" i="39"/>
  <c r="P69" i="39" s="1"/>
  <c r="L74" i="39"/>
  <c r="P74" i="39" s="1"/>
  <c r="L50" i="39"/>
  <c r="P50" i="39" s="1"/>
  <c r="L52" i="39"/>
  <c r="P52" i="39" s="1"/>
  <c r="L65" i="39"/>
  <c r="P65" i="39" s="1"/>
  <c r="L67" i="39"/>
  <c r="P67" i="39" s="1"/>
  <c r="L47" i="39"/>
  <c r="P47" i="39" s="1"/>
  <c r="L75" i="39"/>
  <c r="P75" i="39" s="1"/>
  <c r="O43" i="39"/>
  <c r="C16" i="48" s="1"/>
  <c r="L73" i="39"/>
  <c r="P73" i="39" s="1"/>
  <c r="L53" i="39"/>
  <c r="P53" i="39" s="1"/>
  <c r="L66" i="39"/>
  <c r="P66" i="39" s="1"/>
  <c r="L79" i="39"/>
  <c r="P79" i="39" s="1"/>
  <c r="L59" i="39"/>
  <c r="P59" i="39" s="1"/>
  <c r="L78" i="39"/>
  <c r="P78" i="39" s="1"/>
  <c r="L76" i="39"/>
  <c r="P76" i="39" s="1"/>
  <c r="L51" i="39"/>
  <c r="P51" i="39" s="1"/>
  <c r="L58" i="39"/>
  <c r="P58" i="39" s="1"/>
  <c r="L72" i="39"/>
  <c r="P72" i="39" s="1"/>
  <c r="L56" i="39"/>
  <c r="P56" i="39" s="1"/>
  <c r="I88" i="39"/>
  <c r="D43" i="39"/>
  <c r="D118" i="39"/>
  <c r="C118" i="39"/>
  <c r="C43" i="39"/>
  <c r="P21" i="39"/>
  <c r="B8" i="7"/>
  <c r="G20" i="25"/>
  <c r="B16" i="48" s="1"/>
  <c r="H118" i="39"/>
  <c r="I156" i="39"/>
  <c r="L43" i="39"/>
  <c r="C14" i="48" s="1"/>
  <c r="M7" i="25" l="1"/>
  <c r="L7" i="25" s="1"/>
  <c r="M14" i="25"/>
  <c r="L14" i="25" s="1"/>
  <c r="G13" i="25"/>
  <c r="M13" i="25"/>
  <c r="L13" i="25" s="1"/>
  <c r="B6" i="41"/>
  <c r="F7" i="43" s="1"/>
  <c r="H23" i="41"/>
  <c r="B9" i="44" s="1"/>
  <c r="F9" i="43" s="1"/>
  <c r="G17" i="41"/>
  <c r="G108" i="41"/>
  <c r="G47" i="41"/>
  <c r="G51" i="41"/>
  <c r="G40" i="41"/>
  <c r="G65" i="41"/>
  <c r="G43" i="41"/>
  <c r="G50" i="41"/>
  <c r="G21" i="41"/>
  <c r="G106" i="41"/>
  <c r="G69" i="41"/>
  <c r="G91" i="41"/>
  <c r="G41" i="41"/>
  <c r="G67" i="41"/>
  <c r="G53" i="41"/>
  <c r="G22" i="41"/>
  <c r="G54" i="41"/>
  <c r="G44" i="41"/>
  <c r="G30" i="41"/>
  <c r="G79" i="41"/>
  <c r="G113" i="41"/>
  <c r="G23" i="41"/>
  <c r="G80" i="41"/>
  <c r="G110" i="41"/>
  <c r="G74" i="41"/>
  <c r="G85" i="41"/>
  <c r="G112" i="41"/>
  <c r="G84" i="41"/>
  <c r="G107" i="41"/>
  <c r="G98" i="41"/>
  <c r="G72" i="41"/>
  <c r="G58" i="41"/>
  <c r="G64" i="41"/>
  <c r="G35" i="41"/>
  <c r="G15" i="41"/>
  <c r="G101" i="41"/>
  <c r="G97" i="41"/>
  <c r="G75" i="41"/>
  <c r="G38" i="41"/>
  <c r="G14" i="41"/>
  <c r="G55" i="41"/>
  <c r="G62" i="41"/>
  <c r="G57" i="41"/>
  <c r="G109" i="41"/>
  <c r="G19" i="41"/>
  <c r="G96" i="41"/>
  <c r="G88" i="41"/>
  <c r="G13" i="41"/>
  <c r="G86" i="41"/>
  <c r="G31" i="41"/>
  <c r="G82" i="41"/>
  <c r="G94" i="41"/>
  <c r="G26" i="41"/>
  <c r="G95" i="41"/>
  <c r="G29" i="41"/>
  <c r="G34" i="41"/>
  <c r="G52" i="41"/>
  <c r="G33" i="41"/>
  <c r="G66" i="41"/>
  <c r="G111" i="41"/>
  <c r="E11" i="42"/>
  <c r="G93" i="41"/>
  <c r="G89" i="41"/>
  <c r="G56" i="41"/>
  <c r="G77" i="41"/>
  <c r="G83" i="41"/>
  <c r="G78" i="41"/>
  <c r="G68" i="41"/>
  <c r="G71" i="41"/>
  <c r="G103" i="41"/>
  <c r="G63" i="41"/>
  <c r="G105" i="41"/>
  <c r="G48" i="41"/>
  <c r="G46" i="41"/>
  <c r="G87" i="41"/>
  <c r="G100" i="41"/>
  <c r="G25" i="41"/>
  <c r="G102" i="41"/>
  <c r="G24" i="41"/>
  <c r="G16" i="41"/>
  <c r="G59" i="41"/>
  <c r="G60" i="41"/>
  <c r="G49" i="41"/>
  <c r="G36" i="41"/>
  <c r="G73" i="41"/>
  <c r="G92" i="41"/>
  <c r="G37" i="41"/>
  <c r="G32" i="41"/>
  <c r="G45" i="41"/>
  <c r="G28" i="41"/>
  <c r="G104" i="41"/>
  <c r="G81" i="41"/>
  <c r="G61" i="41"/>
  <c r="G18" i="41"/>
  <c r="G90" i="41"/>
  <c r="G27" i="41"/>
  <c r="G42" i="41"/>
  <c r="G39" i="41"/>
  <c r="G99" i="41"/>
  <c r="G76" i="41"/>
  <c r="G20" i="41"/>
  <c r="G70" i="41"/>
  <c r="H43" i="39"/>
  <c r="C11" i="48" s="1"/>
  <c r="P22" i="25"/>
  <c r="P23" i="25" s="1"/>
  <c r="Q12" i="25"/>
  <c r="Q23" i="25" s="1"/>
  <c r="O22" i="25"/>
  <c r="O23" i="25" s="1"/>
  <c r="B15" i="48"/>
  <c r="M5" i="25"/>
  <c r="L5" i="25" s="1"/>
  <c r="B9" i="48"/>
  <c r="G6" i="25"/>
  <c r="B11" i="48" s="1"/>
  <c r="M10" i="25"/>
  <c r="L10" i="25" s="1"/>
  <c r="B10" i="48"/>
  <c r="I118" i="39"/>
  <c r="G5" i="25"/>
  <c r="P80" i="39"/>
  <c r="L80" i="39"/>
  <c r="P43" i="39"/>
  <c r="C6" i="48" s="1"/>
  <c r="G21" i="25" l="1" a="1"/>
  <c r="G21" i="25" s="1"/>
  <c r="G22" i="25" s="1"/>
  <c r="G30" i="25" s="1"/>
  <c r="I39" i="41"/>
  <c r="G27" i="42" s="1"/>
  <c r="F27" i="42"/>
  <c r="I28" i="41"/>
  <c r="G16" i="42" s="1"/>
  <c r="F16" i="42"/>
  <c r="I60" i="41"/>
  <c r="G48" i="42" s="1"/>
  <c r="F48" i="42"/>
  <c r="F34" i="42"/>
  <c r="I46" i="41"/>
  <c r="G34" i="42" s="1"/>
  <c r="F91" i="42"/>
  <c r="I103" i="41"/>
  <c r="G91" i="42" s="1"/>
  <c r="F21" i="42"/>
  <c r="I33" i="41"/>
  <c r="G21" i="42" s="1"/>
  <c r="I44" i="41"/>
  <c r="G32" i="42" s="1"/>
  <c r="F32" i="42"/>
  <c r="F55" i="42"/>
  <c r="I67" i="41"/>
  <c r="G55" i="42" s="1"/>
  <c r="F94" i="42"/>
  <c r="I106" i="41"/>
  <c r="G94" i="42" s="1"/>
  <c r="I65" i="41"/>
  <c r="G53" i="42" s="1"/>
  <c r="F53" i="42"/>
  <c r="F96" i="42"/>
  <c r="I108" i="41"/>
  <c r="G96" i="42" s="1"/>
  <c r="I70" i="41"/>
  <c r="G58" i="42" s="1"/>
  <c r="F58" i="42"/>
  <c r="I18" i="41"/>
  <c r="G6" i="42" s="1"/>
  <c r="F6" i="42"/>
  <c r="I92" i="41"/>
  <c r="G80" i="42" s="1"/>
  <c r="F80" i="42"/>
  <c r="F90" i="42"/>
  <c r="I102" i="41"/>
  <c r="G90" i="42" s="1"/>
  <c r="I83" i="41"/>
  <c r="G71" i="42" s="1"/>
  <c r="F71" i="42"/>
  <c r="I93" i="41"/>
  <c r="G81" i="42" s="1"/>
  <c r="F81" i="42"/>
  <c r="F83" i="42"/>
  <c r="I95" i="41"/>
  <c r="G83" i="42" s="1"/>
  <c r="I31" i="41"/>
  <c r="G19" i="42" s="1"/>
  <c r="F19" i="42"/>
  <c r="F84" i="42"/>
  <c r="I96" i="41"/>
  <c r="G84" i="42" s="1"/>
  <c r="I62" i="41"/>
  <c r="G50" i="42" s="1"/>
  <c r="F50" i="42"/>
  <c r="F63" i="42"/>
  <c r="I75" i="41"/>
  <c r="G63" i="42" s="1"/>
  <c r="I35" i="41"/>
  <c r="G23" i="42" s="1"/>
  <c r="F23" i="42"/>
  <c r="F86" i="42"/>
  <c r="I98" i="41"/>
  <c r="G86" i="42" s="1"/>
  <c r="F73" i="42"/>
  <c r="I85" i="41"/>
  <c r="G73" i="42" s="1"/>
  <c r="F11" i="42"/>
  <c r="I23" i="41"/>
  <c r="G11" i="42" s="1"/>
  <c r="I20" i="41"/>
  <c r="G8" i="42" s="1"/>
  <c r="F8" i="42"/>
  <c r="I61" i="41"/>
  <c r="G49" i="42" s="1"/>
  <c r="F49" i="42"/>
  <c r="F61" i="42"/>
  <c r="I73" i="41"/>
  <c r="G61" i="42" s="1"/>
  <c r="I25" i="41"/>
  <c r="G13" i="42" s="1"/>
  <c r="F13" i="42"/>
  <c r="F59" i="42"/>
  <c r="I71" i="41"/>
  <c r="G59" i="42" s="1"/>
  <c r="I26" i="41"/>
  <c r="G14" i="42" s="1"/>
  <c r="F14" i="42"/>
  <c r="F7" i="42"/>
  <c r="I19" i="41"/>
  <c r="G7" i="42" s="1"/>
  <c r="I97" i="41"/>
  <c r="G85" i="42" s="1"/>
  <c r="F85" i="42"/>
  <c r="F95" i="42"/>
  <c r="I107" i="41"/>
  <c r="G95" i="42" s="1"/>
  <c r="F101" i="42"/>
  <c r="I113" i="41"/>
  <c r="G101" i="42" s="1"/>
  <c r="I41" i="41"/>
  <c r="G29" i="42" s="1"/>
  <c r="F29" i="42"/>
  <c r="I21" i="41"/>
  <c r="G9" i="42" s="1"/>
  <c r="F9" i="42"/>
  <c r="I40" i="41"/>
  <c r="G28" i="42" s="1"/>
  <c r="F28" i="42"/>
  <c r="I76" i="41"/>
  <c r="G64" i="42" s="1"/>
  <c r="F64" i="42"/>
  <c r="F15" i="42"/>
  <c r="I27" i="41"/>
  <c r="G15" i="42" s="1"/>
  <c r="I81" i="41"/>
  <c r="G69" i="42" s="1"/>
  <c r="F69" i="42"/>
  <c r="F20" i="42"/>
  <c r="I32" i="41"/>
  <c r="G20" i="42" s="1"/>
  <c r="F24" i="42"/>
  <c r="I36" i="41"/>
  <c r="G24" i="42" s="1"/>
  <c r="I16" i="41"/>
  <c r="G4" i="42" s="1"/>
  <c r="F4" i="42"/>
  <c r="F88" i="42"/>
  <c r="I100" i="41"/>
  <c r="G88" i="42" s="1"/>
  <c r="I105" i="41"/>
  <c r="G93" i="42" s="1"/>
  <c r="F93" i="42"/>
  <c r="I68" i="41"/>
  <c r="G56" i="42" s="1"/>
  <c r="F56" i="42"/>
  <c r="F44" i="42"/>
  <c r="I56" i="41"/>
  <c r="G44" i="42" s="1"/>
  <c r="F99" i="42"/>
  <c r="I111" i="41"/>
  <c r="G99" i="42" s="1"/>
  <c r="I34" i="41"/>
  <c r="G22" i="42" s="1"/>
  <c r="F22" i="42"/>
  <c r="I94" i="41"/>
  <c r="G82" i="42" s="1"/>
  <c r="F82" i="42"/>
  <c r="I13" i="41"/>
  <c r="F1" i="42"/>
  <c r="I109" i="41"/>
  <c r="G97" i="42" s="1"/>
  <c r="F97" i="42"/>
  <c r="I14" i="41"/>
  <c r="G2" i="42" s="1"/>
  <c r="F2" i="42"/>
  <c r="F89" i="42"/>
  <c r="I101" i="41"/>
  <c r="G89" i="42" s="1"/>
  <c r="I58" i="41"/>
  <c r="G46" i="42" s="1"/>
  <c r="F46" i="42"/>
  <c r="F72" i="42"/>
  <c r="I84" i="41"/>
  <c r="G72" i="42" s="1"/>
  <c r="F98" i="42"/>
  <c r="I110" i="41"/>
  <c r="G98" i="42" s="1"/>
  <c r="F67" i="42"/>
  <c r="I79" i="41"/>
  <c r="G67" i="42" s="1"/>
  <c r="F10" i="42"/>
  <c r="I22" i="41"/>
  <c r="G10" i="42" s="1"/>
  <c r="F79" i="42"/>
  <c r="I91" i="41"/>
  <c r="G79" i="42" s="1"/>
  <c r="F38" i="42"/>
  <c r="I50" i="41"/>
  <c r="G38" i="42" s="1"/>
  <c r="I51" i="41"/>
  <c r="G39" i="42" s="1"/>
  <c r="F39" i="42"/>
  <c r="I42" i="41"/>
  <c r="G30" i="42" s="1"/>
  <c r="F30" i="42"/>
  <c r="F33" i="42"/>
  <c r="I45" i="41"/>
  <c r="G33" i="42" s="1"/>
  <c r="I59" i="41"/>
  <c r="G47" i="42" s="1"/>
  <c r="F47" i="42"/>
  <c r="F36" i="42"/>
  <c r="I48" i="41"/>
  <c r="G36" i="42" s="1"/>
  <c r="I77" i="41"/>
  <c r="G65" i="42" s="1"/>
  <c r="F65" i="42"/>
  <c r="F40" i="42"/>
  <c r="I52" i="41"/>
  <c r="G40" i="42" s="1"/>
  <c r="I86" i="41"/>
  <c r="G74" i="42" s="1"/>
  <c r="F74" i="42"/>
  <c r="I55" i="41"/>
  <c r="G43" i="42" s="1"/>
  <c r="F43" i="42"/>
  <c r="F52" i="42"/>
  <c r="I64" i="41"/>
  <c r="G52" i="42" s="1"/>
  <c r="I74" i="41"/>
  <c r="G62" i="42" s="1"/>
  <c r="F62" i="42"/>
  <c r="F42" i="42"/>
  <c r="I54" i="41"/>
  <c r="G42" i="42" s="1"/>
  <c r="I17" i="41"/>
  <c r="G5" i="42" s="1"/>
  <c r="F5" i="42"/>
  <c r="F87" i="42"/>
  <c r="I99" i="41"/>
  <c r="G87" i="42" s="1"/>
  <c r="F78" i="42"/>
  <c r="I90" i="41"/>
  <c r="G78" i="42" s="1"/>
  <c r="I104" i="41"/>
  <c r="G92" i="42" s="1"/>
  <c r="F92" i="42"/>
  <c r="I37" i="41"/>
  <c r="G25" i="42" s="1"/>
  <c r="F25" i="42"/>
  <c r="F37" i="42"/>
  <c r="I49" i="41"/>
  <c r="G37" i="42" s="1"/>
  <c r="F12" i="42"/>
  <c r="I24" i="41"/>
  <c r="G12" i="42" s="1"/>
  <c r="F75" i="42"/>
  <c r="I87" i="41"/>
  <c r="G75" i="42" s="1"/>
  <c r="I63" i="41"/>
  <c r="G51" i="42" s="1"/>
  <c r="F51" i="42"/>
  <c r="I78" i="41"/>
  <c r="G66" i="42" s="1"/>
  <c r="F66" i="42"/>
  <c r="F77" i="42"/>
  <c r="I89" i="41"/>
  <c r="G77" i="42" s="1"/>
  <c r="I66" i="41"/>
  <c r="G54" i="42" s="1"/>
  <c r="F54" i="42"/>
  <c r="I29" i="41"/>
  <c r="G17" i="42" s="1"/>
  <c r="F17" i="42"/>
  <c r="F70" i="42"/>
  <c r="I82" i="41"/>
  <c r="G70" i="42" s="1"/>
  <c r="I88" i="41"/>
  <c r="G76" i="42" s="1"/>
  <c r="F76" i="42"/>
  <c r="F45" i="42"/>
  <c r="I57" i="41"/>
  <c r="G45" i="42" s="1"/>
  <c r="F26" i="42"/>
  <c r="I38" i="41"/>
  <c r="G26" i="42" s="1"/>
  <c r="F3" i="42"/>
  <c r="I15" i="41"/>
  <c r="G3" i="42" s="1"/>
  <c r="I72" i="41"/>
  <c r="G60" i="42" s="1"/>
  <c r="F60" i="42"/>
  <c r="I112" i="41"/>
  <c r="G100" i="42" s="1"/>
  <c r="F100" i="42"/>
  <c r="I80" i="41"/>
  <c r="G68" i="42" s="1"/>
  <c r="F68" i="42"/>
  <c r="I30" i="41"/>
  <c r="G18" i="42" s="1"/>
  <c r="F18" i="42"/>
  <c r="I53" i="41"/>
  <c r="G41" i="42" s="1"/>
  <c r="F41" i="42"/>
  <c r="I69" i="41"/>
  <c r="G57" i="42" s="1"/>
  <c r="F57" i="42"/>
  <c r="F31" i="42"/>
  <c r="I43" i="41"/>
  <c r="G31" i="42" s="1"/>
  <c r="F35" i="42"/>
  <c r="I47" i="41"/>
  <c r="G35" i="42" s="1"/>
  <c r="M22" i="25"/>
  <c r="M12" i="25"/>
  <c r="G12" i="25"/>
  <c r="G28" i="25"/>
  <c r="I5" i="39" l="1"/>
  <c r="F5" i="43"/>
  <c r="B6" i="48"/>
  <c r="I26" i="42"/>
  <c r="K26" i="42"/>
  <c r="J26" i="42"/>
  <c r="K78" i="42"/>
  <c r="I78" i="42"/>
  <c r="J78" i="42"/>
  <c r="K40" i="42"/>
  <c r="J40" i="42"/>
  <c r="I40" i="42"/>
  <c r="J79" i="42"/>
  <c r="K79" i="42"/>
  <c r="I79" i="42"/>
  <c r="I89" i="42"/>
  <c r="J89" i="42"/>
  <c r="K89" i="42"/>
  <c r="I101" i="42"/>
  <c r="J101" i="42"/>
  <c r="K101" i="42"/>
  <c r="K63" i="42"/>
  <c r="J63" i="42"/>
  <c r="I63" i="42"/>
  <c r="J83" i="42"/>
  <c r="K83" i="42"/>
  <c r="I83" i="42"/>
  <c r="K55" i="42"/>
  <c r="J55" i="42"/>
  <c r="I55" i="42"/>
  <c r="J41" i="42"/>
  <c r="I41" i="42"/>
  <c r="K41" i="42"/>
  <c r="K68" i="42"/>
  <c r="J68" i="42"/>
  <c r="I68" i="42"/>
  <c r="I60" i="42"/>
  <c r="J60" i="42"/>
  <c r="K60" i="42"/>
  <c r="K76" i="42"/>
  <c r="J76" i="42"/>
  <c r="I76" i="42"/>
  <c r="I17" i="42"/>
  <c r="J17" i="42"/>
  <c r="K17" i="42"/>
  <c r="J51" i="42"/>
  <c r="K51" i="42"/>
  <c r="I51" i="42"/>
  <c r="I25" i="42"/>
  <c r="J25" i="42"/>
  <c r="K25" i="42"/>
  <c r="I5" i="42"/>
  <c r="J5" i="42"/>
  <c r="K5" i="42"/>
  <c r="J62" i="42"/>
  <c r="K62" i="42"/>
  <c r="I62" i="42"/>
  <c r="J43" i="42"/>
  <c r="I43" i="42"/>
  <c r="K43" i="42"/>
  <c r="I39" i="42"/>
  <c r="J39" i="42"/>
  <c r="K39" i="42"/>
  <c r="J97" i="42"/>
  <c r="K97" i="42"/>
  <c r="I97" i="42"/>
  <c r="I82" i="42"/>
  <c r="J82" i="42"/>
  <c r="K82" i="42"/>
  <c r="I56" i="42"/>
  <c r="K56" i="42"/>
  <c r="J56" i="42"/>
  <c r="K69" i="42"/>
  <c r="I69" i="42"/>
  <c r="J69" i="42"/>
  <c r="K64" i="42"/>
  <c r="I64" i="42"/>
  <c r="J64" i="42"/>
  <c r="J9" i="42"/>
  <c r="K9" i="42"/>
  <c r="I9" i="42"/>
  <c r="I85" i="42"/>
  <c r="K85" i="42"/>
  <c r="J85" i="42"/>
  <c r="I14" i="42"/>
  <c r="K14" i="42"/>
  <c r="J14" i="42"/>
  <c r="I13" i="42"/>
  <c r="K13" i="42"/>
  <c r="J13" i="42"/>
  <c r="K49" i="42"/>
  <c r="J49" i="42"/>
  <c r="I49" i="42"/>
  <c r="K71" i="42"/>
  <c r="J71" i="42"/>
  <c r="I71" i="42"/>
  <c r="I80" i="42"/>
  <c r="K80" i="42"/>
  <c r="J80" i="42"/>
  <c r="J58" i="42"/>
  <c r="K58" i="42"/>
  <c r="I58" i="42"/>
  <c r="K53" i="42"/>
  <c r="I53" i="42"/>
  <c r="J53" i="42"/>
  <c r="J16" i="42"/>
  <c r="K16" i="42"/>
  <c r="I16" i="42"/>
  <c r="J31" i="42"/>
  <c r="K31" i="42"/>
  <c r="I31" i="42"/>
  <c r="I77" i="42"/>
  <c r="K77" i="42"/>
  <c r="J77" i="42"/>
  <c r="J36" i="42"/>
  <c r="K36" i="42"/>
  <c r="I36" i="42"/>
  <c r="K72" i="42"/>
  <c r="I72" i="42"/>
  <c r="J72" i="42"/>
  <c r="K88" i="42"/>
  <c r="J88" i="42"/>
  <c r="I88" i="42"/>
  <c r="I11" i="42"/>
  <c r="J11" i="42"/>
  <c r="K11" i="42"/>
  <c r="I21" i="42"/>
  <c r="K21" i="42"/>
  <c r="J21" i="42"/>
  <c r="K35" i="42"/>
  <c r="I35" i="42"/>
  <c r="J35" i="42"/>
  <c r="K3" i="42"/>
  <c r="J3" i="42"/>
  <c r="I3" i="42"/>
  <c r="K45" i="42"/>
  <c r="J45" i="42"/>
  <c r="I45" i="42"/>
  <c r="I70" i="42"/>
  <c r="J70" i="42"/>
  <c r="K70" i="42"/>
  <c r="K75" i="42"/>
  <c r="J75" i="42"/>
  <c r="I75" i="42"/>
  <c r="K37" i="42"/>
  <c r="I37" i="42"/>
  <c r="J37" i="42"/>
  <c r="J87" i="42"/>
  <c r="I87" i="42"/>
  <c r="K87" i="42"/>
  <c r="K42" i="42"/>
  <c r="I42" i="42"/>
  <c r="J42" i="42"/>
  <c r="J52" i="42"/>
  <c r="K52" i="42"/>
  <c r="I52" i="42"/>
  <c r="J38" i="42"/>
  <c r="I38" i="42"/>
  <c r="K38" i="42"/>
  <c r="I10" i="42"/>
  <c r="J10" i="42"/>
  <c r="K10" i="42"/>
  <c r="I98" i="42"/>
  <c r="J98" i="42"/>
  <c r="K98" i="42"/>
  <c r="K44" i="42"/>
  <c r="I44" i="42"/>
  <c r="J44" i="42"/>
  <c r="J20" i="42"/>
  <c r="K20" i="42"/>
  <c r="I20" i="42"/>
  <c r="K15" i="42"/>
  <c r="I15" i="42"/>
  <c r="J15" i="42"/>
  <c r="K95" i="42"/>
  <c r="I95" i="42"/>
  <c r="J95" i="42"/>
  <c r="K7" i="42"/>
  <c r="I7" i="42"/>
  <c r="J7" i="42"/>
  <c r="K59" i="42"/>
  <c r="J59" i="42"/>
  <c r="I59" i="42"/>
  <c r="K61" i="42"/>
  <c r="I61" i="42"/>
  <c r="J61" i="42"/>
  <c r="I73" i="42"/>
  <c r="J73" i="42"/>
  <c r="K73" i="42"/>
  <c r="K90" i="42"/>
  <c r="J90" i="42"/>
  <c r="I90" i="42"/>
  <c r="J96" i="42"/>
  <c r="K96" i="42"/>
  <c r="I96" i="42"/>
  <c r="J94" i="42"/>
  <c r="K94" i="42"/>
  <c r="I94" i="42"/>
  <c r="I91" i="42"/>
  <c r="K91" i="42"/>
  <c r="J91" i="42"/>
  <c r="J12" i="42"/>
  <c r="K12" i="42"/>
  <c r="I12" i="42"/>
  <c r="I33" i="42"/>
  <c r="J33" i="42"/>
  <c r="K33" i="42"/>
  <c r="K67" i="42"/>
  <c r="I67" i="42"/>
  <c r="J67" i="42"/>
  <c r="I99" i="42"/>
  <c r="J99" i="42"/>
  <c r="K99" i="42"/>
  <c r="K24" i="42"/>
  <c r="I24" i="42"/>
  <c r="J24" i="42"/>
  <c r="K86" i="42"/>
  <c r="J86" i="42"/>
  <c r="I86" i="42"/>
  <c r="K84" i="42"/>
  <c r="I84" i="42"/>
  <c r="J84" i="42"/>
  <c r="J34" i="42"/>
  <c r="K34" i="42"/>
  <c r="I34" i="42"/>
  <c r="I57" i="42"/>
  <c r="J57" i="42"/>
  <c r="K57" i="42"/>
  <c r="J18" i="42"/>
  <c r="I18" i="42"/>
  <c r="K18" i="42"/>
  <c r="I100" i="42"/>
  <c r="K100" i="42"/>
  <c r="J100" i="42"/>
  <c r="K54" i="42"/>
  <c r="J54" i="42"/>
  <c r="I54" i="42"/>
  <c r="I66" i="42"/>
  <c r="J66" i="42"/>
  <c r="K66" i="42"/>
  <c r="J92" i="42"/>
  <c r="I92" i="42"/>
  <c r="K92" i="42"/>
  <c r="J74" i="42"/>
  <c r="K74" i="42"/>
  <c r="I74" i="42"/>
  <c r="I65" i="42"/>
  <c r="J65" i="42"/>
  <c r="K65" i="42"/>
  <c r="K47" i="42"/>
  <c r="J47" i="42"/>
  <c r="I47" i="42"/>
  <c r="J30" i="42"/>
  <c r="K30" i="42"/>
  <c r="I30" i="42"/>
  <c r="I46" i="42"/>
  <c r="K46" i="42"/>
  <c r="J46" i="42"/>
  <c r="K2" i="42"/>
  <c r="J2" i="42"/>
  <c r="I2" i="42"/>
  <c r="B9" i="41"/>
  <c r="I7" i="43" s="1"/>
  <c r="D8" i="41"/>
  <c r="G1" i="42"/>
  <c r="D9" i="41"/>
  <c r="F8" i="41"/>
  <c r="H7" i="43" s="1" a="1"/>
  <c r="H7" i="43" s="1"/>
  <c r="B8" i="41"/>
  <c r="G7" i="43" s="1"/>
  <c r="F9" i="41"/>
  <c r="J7" i="43" s="1"/>
  <c r="K22" i="42"/>
  <c r="J22" i="42"/>
  <c r="I22" i="42"/>
  <c r="K93" i="42"/>
  <c r="I93" i="42"/>
  <c r="J93" i="42"/>
  <c r="I4" i="42"/>
  <c r="K4" i="42"/>
  <c r="J4" i="42"/>
  <c r="J28" i="42"/>
  <c r="I28" i="42"/>
  <c r="K28" i="42"/>
  <c r="K29" i="42"/>
  <c r="I29" i="42"/>
  <c r="J29" i="42"/>
  <c r="K8" i="42"/>
  <c r="I8" i="42"/>
  <c r="J8" i="42"/>
  <c r="I23" i="42"/>
  <c r="J23" i="42"/>
  <c r="K23" i="42"/>
  <c r="K50" i="42"/>
  <c r="J50" i="42"/>
  <c r="I50" i="42"/>
  <c r="J19" i="42"/>
  <c r="K19" i="42"/>
  <c r="I19" i="42"/>
  <c r="J81" i="42"/>
  <c r="K81" i="42"/>
  <c r="I81" i="42"/>
  <c r="I6" i="42"/>
  <c r="J6" i="42"/>
  <c r="K6" i="42"/>
  <c r="I32" i="42"/>
  <c r="J32" i="42"/>
  <c r="K32" i="42"/>
  <c r="J48" i="42"/>
  <c r="I48" i="42"/>
  <c r="K48" i="42"/>
  <c r="K27" i="42"/>
  <c r="J27" i="42"/>
  <c r="I27" i="42"/>
  <c r="M23" i="25"/>
  <c r="L22" i="25"/>
  <c r="G23" i="25"/>
  <c r="I6" i="39" s="1"/>
  <c r="L12" i="25"/>
  <c r="I1" i="42" l="1"/>
  <c r="K1" i="42"/>
  <c r="J1" i="42"/>
  <c r="L23" i="25"/>
  <c r="M77" i="41" l="1" a="1"/>
  <c r="M77" i="41" s="1"/>
  <c r="N77" i="41" s="1"/>
  <c r="M82" i="41" a="1"/>
  <c r="M82" i="41" s="1"/>
  <c r="N82" i="41" s="1"/>
  <c r="M66" i="41" a="1"/>
  <c r="M66" i="41" s="1"/>
  <c r="N66" i="41" s="1"/>
  <c r="M97" i="41" a="1"/>
  <c r="M97" i="41" s="1"/>
  <c r="N97" i="41" s="1"/>
  <c r="M62" i="41" a="1"/>
  <c r="M62" i="41" s="1"/>
  <c r="N62" i="41" s="1"/>
  <c r="M92" i="41" a="1"/>
  <c r="M92" i="41" s="1"/>
  <c r="N92" i="41" s="1"/>
  <c r="M72" i="41" a="1"/>
  <c r="M72" i="41" s="1"/>
  <c r="N72" i="41" s="1"/>
  <c r="M76" i="41" a="1"/>
  <c r="M76" i="41" s="1"/>
  <c r="N76" i="41" s="1"/>
  <c r="M63" i="41" a="1"/>
  <c r="M63" i="41" s="1"/>
  <c r="N63" i="41" s="1"/>
  <c r="M87" i="41" a="1"/>
  <c r="M87" i="41" s="1"/>
  <c r="N87" i="41" s="1"/>
  <c r="M59" i="41" a="1"/>
  <c r="M59" i="41" s="1"/>
  <c r="N59" i="41" s="1"/>
  <c r="M68" i="41" a="1"/>
  <c r="M68" i="41" s="1"/>
  <c r="N68" i="41" s="1"/>
  <c r="M85" i="41" a="1"/>
  <c r="M85" i="41" s="1"/>
  <c r="N85" i="41" s="1"/>
  <c r="M100" i="41" a="1"/>
  <c r="M100" i="41" s="1"/>
  <c r="N100" i="41" s="1"/>
  <c r="M81" i="41" a="1"/>
  <c r="M81" i="41" s="1"/>
  <c r="N81" i="41" s="1"/>
  <c r="M19" i="41" a="1"/>
  <c r="M19" i="41" s="1"/>
  <c r="M67" i="41" a="1"/>
  <c r="M67" i="41" s="1"/>
  <c r="N67" i="41" s="1"/>
  <c r="M111" i="41" a="1"/>
  <c r="M111" i="41" s="1"/>
  <c r="N111" i="41" s="1"/>
  <c r="M79" i="41" a="1"/>
  <c r="M79" i="41" s="1"/>
  <c r="N79" i="41" s="1"/>
  <c r="M13" i="41" a="1"/>
  <c r="M13" i="41" s="1"/>
  <c r="M40" i="41" a="1"/>
  <c r="M40" i="41" s="1"/>
  <c r="N40" i="41" s="1"/>
  <c r="M73" i="41" a="1"/>
  <c r="M73" i="41" s="1"/>
  <c r="N73" i="41" s="1"/>
  <c r="M38" i="41" a="1"/>
  <c r="M38" i="41" s="1"/>
  <c r="N38" i="41" s="1"/>
  <c r="M78" i="41" a="1"/>
  <c r="M78" i="41" s="1"/>
  <c r="N78" i="41" s="1"/>
  <c r="M106" i="41" a="1"/>
  <c r="M106" i="41" s="1"/>
  <c r="M61" i="41" a="1"/>
  <c r="M61" i="41" s="1"/>
  <c r="N61" i="41" s="1"/>
  <c r="M64" i="41" a="1"/>
  <c r="M64" i="41" s="1"/>
  <c r="N64" i="41" s="1"/>
  <c r="M16" i="41" a="1"/>
  <c r="M16" i="41" s="1"/>
  <c r="M56" i="41" a="1"/>
  <c r="M56" i="41" s="1"/>
  <c r="N56" i="41" s="1"/>
  <c r="M74" i="41" a="1"/>
  <c r="M74" i="41" s="1"/>
  <c r="N74" i="41" s="1"/>
  <c r="M53" i="41" a="1"/>
  <c r="M53" i="41" s="1"/>
  <c r="N53" i="41" s="1"/>
  <c r="M65" i="41" a="1"/>
  <c r="M65" i="41" s="1"/>
  <c r="N65" i="41" s="1"/>
  <c r="M99" i="41" a="1"/>
  <c r="M99" i="41" s="1"/>
  <c r="N99" i="41" s="1"/>
  <c r="M57" i="41" a="1"/>
  <c r="M57" i="41" s="1"/>
  <c r="N57" i="41" s="1"/>
  <c r="M110" i="41" a="1"/>
  <c r="M110" i="41" s="1"/>
  <c r="M14" i="41" a="1"/>
  <c r="M14" i="41" s="1"/>
  <c r="M26" i="41" a="1"/>
  <c r="M26" i="41" s="1"/>
  <c r="M27" i="41" a="1"/>
  <c r="M27" i="41" s="1"/>
  <c r="M25" i="41" a="1"/>
  <c r="M25" i="41" s="1"/>
  <c r="M93" i="41" a="1"/>
  <c r="M93" i="41" s="1"/>
  <c r="N93" i="41" s="1"/>
  <c r="M23" i="41" a="1"/>
  <c r="M23" i="41" s="1"/>
  <c r="M95" i="41" a="1"/>
  <c r="M95" i="41" s="1"/>
  <c r="N95" i="41" s="1"/>
  <c r="M24" i="41" a="1"/>
  <c r="M24" i="41" s="1"/>
  <c r="M75" i="41" a="1"/>
  <c r="M75" i="41" s="1"/>
  <c r="N75" i="41" s="1"/>
  <c r="M20" i="41" a="1"/>
  <c r="M20" i="41" s="1"/>
  <c r="M88" i="41" a="1"/>
  <c r="M88" i="41" s="1"/>
  <c r="N88" i="41" s="1"/>
  <c r="M108" i="41" a="1"/>
  <c r="M108" i="41" s="1"/>
  <c r="M89" i="41" a="1"/>
  <c r="M89" i="41" s="1"/>
  <c r="N89" i="41" s="1"/>
  <c r="M22" i="41" a="1"/>
  <c r="M22" i="41" s="1"/>
  <c r="M70" i="41" a="1"/>
  <c r="M70" i="41" s="1"/>
  <c r="N70" i="41" s="1"/>
  <c r="M21" i="41" a="1"/>
  <c r="M21" i="41" s="1"/>
  <c r="M104" i="41" a="1"/>
  <c r="M104" i="41" s="1"/>
  <c r="M31" i="41" a="1"/>
  <c r="M31" i="41" s="1"/>
  <c r="M105" i="41" a="1"/>
  <c r="M105" i="41" s="1"/>
  <c r="M30" i="41" a="1"/>
  <c r="M30" i="41" s="1"/>
  <c r="M83" i="41" a="1"/>
  <c r="M83" i="41" s="1"/>
  <c r="N83" i="41" s="1"/>
  <c r="M80" i="41" a="1"/>
  <c r="M80" i="41" s="1"/>
  <c r="N80" i="41" s="1"/>
  <c r="M51" i="41" a="1"/>
  <c r="M51" i="41" s="1"/>
  <c r="N51" i="41" s="1"/>
  <c r="M94" i="41" a="1"/>
  <c r="M94" i="41" s="1"/>
  <c r="N94" i="41" s="1"/>
  <c r="M28" i="41" a="1"/>
  <c r="M28" i="41" s="1"/>
  <c r="M47" i="41" a="1"/>
  <c r="M47" i="41" s="1"/>
  <c r="N47" i="41" s="1"/>
  <c r="M102" i="41" a="1"/>
  <c r="M102" i="41" s="1"/>
  <c r="N102" i="41" s="1"/>
  <c r="M42" i="41" a="1"/>
  <c r="M42" i="41" s="1"/>
  <c r="N42" i="41" s="1"/>
  <c r="M69" i="41" a="1"/>
  <c r="M69" i="41" s="1"/>
  <c r="N69" i="41" s="1"/>
  <c r="M54" i="41" a="1"/>
  <c r="M54" i="41" s="1"/>
  <c r="N54" i="41" s="1"/>
  <c r="M113" i="41" a="1"/>
  <c r="M113" i="41" s="1"/>
  <c r="N113" i="41" s="1"/>
  <c r="M35" i="41" a="1"/>
  <c r="M35" i="41" s="1"/>
  <c r="M112" i="41" a="1"/>
  <c r="M112" i="41" s="1"/>
  <c r="N112" i="41" s="1"/>
  <c r="M36" i="41" a="1"/>
  <c r="M36" i="41" s="1"/>
  <c r="M44" i="41" a="1"/>
  <c r="M44" i="41" s="1"/>
  <c r="N44" i="41" s="1"/>
  <c r="M37" i="41" a="1"/>
  <c r="M37" i="41" s="1"/>
  <c r="M91" i="41" a="1"/>
  <c r="M91" i="41" s="1"/>
  <c r="N91" i="41" s="1"/>
  <c r="M29" i="41" a="1"/>
  <c r="M29" i="41" s="1"/>
  <c r="M109" i="41" a="1"/>
  <c r="M109" i="41" s="1"/>
  <c r="M34" i="41" a="1"/>
  <c r="M34" i="41" s="1"/>
  <c r="M33" i="41" a="1"/>
  <c r="M33" i="41" s="1"/>
  <c r="M32" i="41" a="1"/>
  <c r="M32" i="41" s="1"/>
  <c r="M86" i="41" a="1"/>
  <c r="M86" i="41" s="1"/>
  <c r="N86" i="41" s="1"/>
  <c r="M45" i="41" a="1"/>
  <c r="M45" i="41" s="1"/>
  <c r="N45" i="41" s="1"/>
  <c r="M41" i="41" a="1"/>
  <c r="M41" i="41" s="1"/>
  <c r="N41" i="41" s="1"/>
  <c r="M39" i="41" a="1"/>
  <c r="M39" i="41" s="1"/>
  <c r="N39" i="41" s="1"/>
  <c r="M58" i="41" a="1"/>
  <c r="M58" i="41" s="1"/>
  <c r="N58" i="41" s="1"/>
  <c r="M43" i="41" a="1"/>
  <c r="M43" i="41" s="1"/>
  <c r="N43" i="41" s="1"/>
  <c r="M96" i="41" a="1"/>
  <c r="M96" i="41" s="1"/>
  <c r="N96" i="41" s="1"/>
  <c r="M90" i="41" a="1"/>
  <c r="M90" i="41" s="1"/>
  <c r="N90" i="41" s="1"/>
  <c r="M107" i="41" a="1"/>
  <c r="M107" i="41" s="1"/>
  <c r="M60" i="41" a="1"/>
  <c r="M60" i="41" s="1"/>
  <c r="N60" i="41" s="1"/>
  <c r="M17" i="41" a="1"/>
  <c r="M17" i="41" s="1"/>
  <c r="M103" i="41" a="1"/>
  <c r="M103" i="41" s="1"/>
  <c r="M98" i="41" a="1"/>
  <c r="M98" i="41" s="1"/>
  <c r="N98" i="41" s="1"/>
  <c r="M18" i="41" a="1"/>
  <c r="M18" i="41" s="1"/>
  <c r="M55" i="41" a="1"/>
  <c r="M55" i="41" s="1"/>
  <c r="N55" i="41" s="1"/>
  <c r="M48" i="41" a="1"/>
  <c r="M48" i="41" s="1"/>
  <c r="N48" i="41" s="1"/>
  <c r="M49" i="41" a="1"/>
  <c r="M49" i="41" s="1"/>
  <c r="N49" i="41" s="1"/>
  <c r="M46" i="41" a="1"/>
  <c r="M46" i="41" s="1"/>
  <c r="N46" i="41" s="1"/>
  <c r="M71" i="41" a="1"/>
  <c r="M71" i="41" s="1"/>
  <c r="N71" i="41" s="1"/>
  <c r="M84" i="41" a="1"/>
  <c r="M84" i="41" s="1"/>
  <c r="N84" i="41" s="1"/>
  <c r="M50" i="41" a="1"/>
  <c r="M50" i="41" s="1"/>
  <c r="N50" i="41" s="1"/>
  <c r="M52" i="41" a="1"/>
  <c r="M52" i="41" s="1"/>
  <c r="N52" i="41" s="1"/>
  <c r="M15" i="41" a="1"/>
  <c r="M15" i="41" s="1"/>
  <c r="M101" i="41" a="1"/>
  <c r="M101" i="41" s="1"/>
  <c r="N101" i="41" s="1"/>
  <c r="K108" i="41" a="1"/>
  <c r="K108" i="41" s="1"/>
  <c r="L108" i="41" s="1"/>
  <c r="K81" i="41" a="1"/>
  <c r="K81" i="41" s="1"/>
  <c r="L81" i="41" s="1"/>
  <c r="K49" i="41" a="1"/>
  <c r="K49" i="41" s="1"/>
  <c r="L49" i="41" s="1"/>
  <c r="K20" i="41" a="1"/>
  <c r="K20" i="41" s="1"/>
  <c r="K80" i="41" a="1"/>
  <c r="K80" i="41" s="1"/>
  <c r="L80" i="41" s="1"/>
  <c r="K24" i="41" a="1"/>
  <c r="K24" i="41" s="1"/>
  <c r="K102" i="41" a="1"/>
  <c r="K102" i="41" s="1"/>
  <c r="L102" i="41" s="1"/>
  <c r="K86" i="41" a="1"/>
  <c r="K86" i="41" s="1"/>
  <c r="L86" i="41" s="1"/>
  <c r="K70" i="41" a="1"/>
  <c r="K70" i="41" s="1"/>
  <c r="L70" i="41" s="1"/>
  <c r="K54" i="41" a="1"/>
  <c r="K54" i="41" s="1"/>
  <c r="L54" i="41" s="1"/>
  <c r="K38" i="41" a="1"/>
  <c r="K38" i="41" s="1"/>
  <c r="K77" i="41" a="1"/>
  <c r="K77" i="41" s="1"/>
  <c r="L77" i="41" s="1"/>
  <c r="K21" i="41" a="1"/>
  <c r="K21" i="41" s="1"/>
  <c r="K101" i="41" a="1"/>
  <c r="K101" i="41" s="1"/>
  <c r="L101" i="41" s="1"/>
  <c r="K29" i="41" a="1"/>
  <c r="K29" i="41" s="1"/>
  <c r="K103" i="41" a="1"/>
  <c r="K103" i="41" s="1"/>
  <c r="L103" i="41" s="1"/>
  <c r="K87" i="41" a="1"/>
  <c r="K87" i="41" s="1"/>
  <c r="L87" i="41" s="1"/>
  <c r="K71" i="41" a="1"/>
  <c r="K71" i="41" s="1"/>
  <c r="L71" i="41" s="1"/>
  <c r="K55" i="41" a="1"/>
  <c r="K55" i="41" s="1"/>
  <c r="L55" i="41" s="1"/>
  <c r="K39" i="41" a="1"/>
  <c r="K39" i="41" s="1"/>
  <c r="L39" i="41" s="1"/>
  <c r="K23" i="41" a="1"/>
  <c r="K23" i="41" s="1"/>
  <c r="K97" i="41" a="1"/>
  <c r="K97" i="41" s="1"/>
  <c r="L97" i="41" s="1"/>
  <c r="K60" i="41" a="1"/>
  <c r="K60" i="41" s="1"/>
  <c r="L60" i="41" s="1"/>
  <c r="K25" i="41" a="1"/>
  <c r="K25" i="41" s="1"/>
  <c r="K72" i="41" a="1"/>
  <c r="K72" i="41" s="1"/>
  <c r="L72" i="41" s="1"/>
  <c r="K14" i="41" a="1"/>
  <c r="K14" i="41" s="1"/>
  <c r="K84" i="41" a="1"/>
  <c r="K84" i="41" s="1"/>
  <c r="L84" i="41" s="1"/>
  <c r="K28" i="41" a="1"/>
  <c r="K28" i="41" s="1"/>
  <c r="K107" i="41" a="1"/>
  <c r="K107" i="41" s="1"/>
  <c r="L107" i="41" s="1"/>
  <c r="K75" i="41" a="1"/>
  <c r="K75" i="41" s="1"/>
  <c r="L75" i="41" s="1"/>
  <c r="K93" i="41" a="1"/>
  <c r="K93" i="41" s="1"/>
  <c r="L93" i="41" s="1"/>
  <c r="K48" i="41" a="1"/>
  <c r="K48" i="41" s="1"/>
  <c r="L48" i="41" s="1"/>
  <c r="K74" i="41" a="1"/>
  <c r="K74" i="41" s="1"/>
  <c r="L74" i="41" s="1"/>
  <c r="K26" i="41" a="1"/>
  <c r="K26" i="41" s="1"/>
  <c r="K33" i="41" a="1"/>
  <c r="K33" i="41" s="1"/>
  <c r="K100" i="41" a="1"/>
  <c r="K100" i="41" s="1"/>
  <c r="L100" i="41" s="1"/>
  <c r="K73" i="41" a="1"/>
  <c r="K73" i="41" s="1"/>
  <c r="L73" i="41" s="1"/>
  <c r="K44" i="41" a="1"/>
  <c r="K44" i="41" s="1"/>
  <c r="L44" i="41" s="1"/>
  <c r="K35" i="41" a="1"/>
  <c r="K35" i="41" s="1"/>
  <c r="K61" i="41" a="1"/>
  <c r="K61" i="41" s="1"/>
  <c r="L61" i="41" s="1"/>
  <c r="K113" i="41" a="1"/>
  <c r="K113" i="41" s="1"/>
  <c r="L113" i="41" s="1"/>
  <c r="K99" i="41" a="1"/>
  <c r="K99" i="41" s="1"/>
  <c r="L99" i="41" s="1"/>
  <c r="K83" i="41" a="1"/>
  <c r="K83" i="41" s="1"/>
  <c r="L83" i="41" s="1"/>
  <c r="K67" i="41" a="1"/>
  <c r="K67" i="41" s="1"/>
  <c r="L67" i="41" s="1"/>
  <c r="K51" i="41" a="1"/>
  <c r="K51" i="41" s="1"/>
  <c r="L51" i="41" s="1"/>
  <c r="K27" i="41" a="1"/>
  <c r="K27" i="41" s="1"/>
  <c r="K64" i="41" a="1"/>
  <c r="K64" i="41" s="1"/>
  <c r="L64" i="41" s="1"/>
  <c r="K112" i="41" a="1"/>
  <c r="K112" i="41" s="1"/>
  <c r="L112" i="41" s="1"/>
  <c r="K88" i="41" a="1"/>
  <c r="K88" i="41" s="1"/>
  <c r="L88" i="41" s="1"/>
  <c r="K16" i="41" a="1"/>
  <c r="K16" i="41" s="1"/>
  <c r="K98" i="41" a="1"/>
  <c r="K98" i="41" s="1"/>
  <c r="L98" i="41" s="1"/>
  <c r="K82" i="41" a="1"/>
  <c r="K82" i="41" s="1"/>
  <c r="L82" i="41" s="1"/>
  <c r="K66" i="41" a="1"/>
  <c r="K66" i="41" s="1"/>
  <c r="L66" i="41" s="1"/>
  <c r="K50" i="41" a="1"/>
  <c r="K50" i="41" s="1"/>
  <c r="L50" i="41" s="1"/>
  <c r="K34" i="41" a="1"/>
  <c r="K34" i="41" s="1"/>
  <c r="K18" i="41" a="1"/>
  <c r="K18" i="41" s="1"/>
  <c r="K89" i="41" a="1"/>
  <c r="K89" i="41" s="1"/>
  <c r="L89" i="41" s="1"/>
  <c r="K52" i="41" a="1"/>
  <c r="K52" i="41" s="1"/>
  <c r="L52" i="41" s="1"/>
  <c r="K17" i="41" a="1"/>
  <c r="K17" i="41" s="1"/>
  <c r="K45" i="41" a="1"/>
  <c r="K45" i="41" s="1"/>
  <c r="L45" i="41" s="1"/>
  <c r="K96" i="41" a="1"/>
  <c r="K96" i="41" s="1"/>
  <c r="L96" i="41" s="1"/>
  <c r="K59" i="41" a="1"/>
  <c r="K59" i="41" s="1"/>
  <c r="L59" i="41" s="1"/>
  <c r="K40" i="41" a="1"/>
  <c r="K40" i="41" s="1"/>
  <c r="L40" i="41" s="1"/>
  <c r="K90" i="41" a="1"/>
  <c r="K90" i="41" s="1"/>
  <c r="L90" i="41" s="1"/>
  <c r="K42" i="41" a="1"/>
  <c r="K42" i="41" s="1"/>
  <c r="L42" i="41" s="1"/>
  <c r="K68" i="41" a="1"/>
  <c r="K68" i="41" s="1"/>
  <c r="L68" i="41" s="1"/>
  <c r="K13" i="41" a="1"/>
  <c r="K13" i="41" s="1"/>
  <c r="K92" i="41" a="1"/>
  <c r="K92" i="41" s="1"/>
  <c r="L92" i="41" s="1"/>
  <c r="K65" i="41" a="1"/>
  <c r="K65" i="41" s="1"/>
  <c r="L65" i="41" s="1"/>
  <c r="K36" i="41" a="1"/>
  <c r="K36" i="41" s="1"/>
  <c r="K22" i="41" a="1"/>
  <c r="K22" i="41" s="1"/>
  <c r="K53" i="41" a="1"/>
  <c r="K53" i="41" s="1"/>
  <c r="L53" i="41" s="1"/>
  <c r="K110" i="41" a="1"/>
  <c r="K110" i="41" s="1"/>
  <c r="L110" i="41" s="1"/>
  <c r="K94" i="41" a="1"/>
  <c r="K94" i="41" s="1"/>
  <c r="L94" i="41" s="1"/>
  <c r="K78" i="41" a="1"/>
  <c r="K78" i="41" s="1"/>
  <c r="L78" i="41" s="1"/>
  <c r="K62" i="41" a="1"/>
  <c r="K62" i="41" s="1"/>
  <c r="L62" i="41" s="1"/>
  <c r="K46" i="41" a="1"/>
  <c r="K46" i="41" s="1"/>
  <c r="L46" i="41" s="1"/>
  <c r="K19" i="41" a="1"/>
  <c r="K19" i="41" s="1"/>
  <c r="K56" i="41" a="1"/>
  <c r="K56" i="41" s="1"/>
  <c r="L56" i="41" s="1"/>
  <c r="K109" i="41" a="1"/>
  <c r="K109" i="41" s="1"/>
  <c r="L109" i="41" s="1"/>
  <c r="K69" i="41" a="1"/>
  <c r="K69" i="41" s="1"/>
  <c r="L69" i="41" s="1"/>
  <c r="K111" i="41" a="1"/>
  <c r="K111" i="41" s="1"/>
  <c r="L111" i="41" s="1"/>
  <c r="K95" i="41" a="1"/>
  <c r="K95" i="41" s="1"/>
  <c r="L95" i="41" s="1"/>
  <c r="K79" i="41" a="1"/>
  <c r="K79" i="41" s="1"/>
  <c r="L79" i="41" s="1"/>
  <c r="K63" i="41" a="1"/>
  <c r="K63" i="41" s="1"/>
  <c r="L63" i="41" s="1"/>
  <c r="K47" i="41" a="1"/>
  <c r="K47" i="41" s="1"/>
  <c r="L47" i="41" s="1"/>
  <c r="K31" i="41" a="1"/>
  <c r="K31" i="41" s="1"/>
  <c r="K15" i="41" a="1"/>
  <c r="K15" i="41" s="1"/>
  <c r="K76" i="41" a="1"/>
  <c r="K76" i="41" s="1"/>
  <c r="L76" i="41" s="1"/>
  <c r="K41" i="41" a="1"/>
  <c r="K41" i="41" s="1"/>
  <c r="L41" i="41" s="1"/>
  <c r="K30" i="41" a="1"/>
  <c r="K30" i="41" s="1"/>
  <c r="K32" i="41" a="1"/>
  <c r="K32" i="41" s="1"/>
  <c r="K57" i="41" a="1"/>
  <c r="K57" i="41" s="1"/>
  <c r="L57" i="41" s="1"/>
  <c r="K37" i="41" a="1"/>
  <c r="K37" i="41" s="1"/>
  <c r="K91" i="41" a="1"/>
  <c r="K91" i="41" s="1"/>
  <c r="L91" i="41" s="1"/>
  <c r="K43" i="41" a="1"/>
  <c r="K43" i="41" s="1"/>
  <c r="L43" i="41" s="1"/>
  <c r="K104" i="41" a="1"/>
  <c r="K104" i="41" s="1"/>
  <c r="L104" i="41" s="1"/>
  <c r="K106" i="41" a="1"/>
  <c r="K106" i="41" s="1"/>
  <c r="L106" i="41" s="1"/>
  <c r="K58" i="41" a="1"/>
  <c r="K58" i="41" s="1"/>
  <c r="L58" i="41" s="1"/>
  <c r="K105" i="41" a="1"/>
  <c r="K105" i="41" s="1"/>
  <c r="L105" i="41" s="1"/>
  <c r="K85" i="41" a="1"/>
  <c r="K85" i="41" s="1"/>
  <c r="L85" i="41" s="1"/>
  <c r="B23" i="43" l="1"/>
  <c r="C23" i="43" s="1"/>
  <c r="L22" i="41"/>
  <c r="L38" i="41"/>
  <c r="B39" i="43"/>
  <c r="C39" i="43" s="1"/>
  <c r="L18" i="43"/>
  <c r="M18" i="43" s="1"/>
  <c r="N17" i="41"/>
  <c r="L34" i="43"/>
  <c r="M34" i="43" s="1"/>
  <c r="N33" i="41"/>
  <c r="N104" i="41"/>
  <c r="B128" i="25"/>
  <c r="L17" i="43"/>
  <c r="M17" i="43" s="1"/>
  <c r="N16" i="41"/>
  <c r="L14" i="43"/>
  <c r="M14" i="43" s="1"/>
  <c r="N13" i="41"/>
  <c r="L30" i="41"/>
  <c r="B31" i="43"/>
  <c r="C31" i="43" s="1"/>
  <c r="L29" i="41"/>
  <c r="B30" i="43"/>
  <c r="C30" i="43" s="1"/>
  <c r="N15" i="41"/>
  <c r="L16" i="43"/>
  <c r="M16" i="43" s="1"/>
  <c r="N28" i="41"/>
  <c r="L29" i="43"/>
  <c r="M29" i="43" s="1"/>
  <c r="N14" i="41"/>
  <c r="L15" i="43"/>
  <c r="M15" i="43" s="1"/>
  <c r="L20" i="43"/>
  <c r="M20" i="43" s="1"/>
  <c r="N19" i="41"/>
  <c r="L37" i="41"/>
  <c r="B38" i="43"/>
  <c r="C38" i="43" s="1"/>
  <c r="L19" i="41"/>
  <c r="B20" i="43"/>
  <c r="C20" i="43" s="1"/>
  <c r="L36" i="41"/>
  <c r="B37" i="43"/>
  <c r="C37" i="43" s="1"/>
  <c r="L16" i="41"/>
  <c r="B17" i="43"/>
  <c r="C17" i="43" s="1"/>
  <c r="L27" i="41"/>
  <c r="B28" i="43"/>
  <c r="C28" i="43" s="1"/>
  <c r="L26" i="41"/>
  <c r="B27" i="43"/>
  <c r="C27" i="43" s="1"/>
  <c r="B15" i="43"/>
  <c r="C15" i="43" s="1"/>
  <c r="L14" i="41"/>
  <c r="L24" i="41"/>
  <c r="B25" i="43"/>
  <c r="C25" i="43" s="1"/>
  <c r="N18" i="41"/>
  <c r="L19" i="43"/>
  <c r="M19" i="43" s="1"/>
  <c r="N34" i="41"/>
  <c r="L35" i="43"/>
  <c r="M35" i="43" s="1"/>
  <c r="N37" i="41"/>
  <c r="L38" i="43"/>
  <c r="M38" i="43" s="1"/>
  <c r="N35" i="41"/>
  <c r="L36" i="43"/>
  <c r="M36" i="43" s="1"/>
  <c r="L31" i="43"/>
  <c r="M31" i="43" s="1"/>
  <c r="N30" i="41"/>
  <c r="L22" i="43"/>
  <c r="M22" i="43" s="1"/>
  <c r="N21" i="41"/>
  <c r="B132" i="25"/>
  <c r="N108" i="41"/>
  <c r="L25" i="43"/>
  <c r="M25" i="43" s="1"/>
  <c r="N24" i="41"/>
  <c r="L26" i="43"/>
  <c r="M26" i="43" s="1"/>
  <c r="N25" i="41"/>
  <c r="N110" i="41"/>
  <c r="B134" i="25"/>
  <c r="B14" i="43"/>
  <c r="C14" i="43" s="1"/>
  <c r="L13" i="41"/>
  <c r="L23" i="41"/>
  <c r="B24" i="43"/>
  <c r="C24" i="43" s="1"/>
  <c r="L21" i="41"/>
  <c r="B22" i="43"/>
  <c r="C22" i="43" s="1"/>
  <c r="B131" i="25"/>
  <c r="N107" i="41"/>
  <c r="B133" i="25"/>
  <c r="N109" i="41"/>
  <c r="N105" i="41"/>
  <c r="B129" i="25"/>
  <c r="N27" i="41"/>
  <c r="L28" i="43"/>
  <c r="M28" i="43" s="1"/>
  <c r="L31" i="41"/>
  <c r="B32" i="43"/>
  <c r="C32" i="43" s="1"/>
  <c r="L17" i="41"/>
  <c r="B18" i="43"/>
  <c r="C18" i="43" s="1"/>
  <c r="L34" i="41"/>
  <c r="B35" i="43"/>
  <c r="C35" i="43" s="1"/>
  <c r="L35" i="41"/>
  <c r="B36" i="43"/>
  <c r="C36" i="43" s="1"/>
  <c r="L33" i="41"/>
  <c r="B34" i="43"/>
  <c r="C34" i="43" s="1"/>
  <c r="L32" i="41"/>
  <c r="B33" i="43"/>
  <c r="C33" i="43" s="1"/>
  <c r="L15" i="41"/>
  <c r="B16" i="43"/>
  <c r="C16" i="43" s="1"/>
  <c r="L18" i="41"/>
  <c r="B19" i="43"/>
  <c r="C19" i="43" s="1"/>
  <c r="L28" i="41"/>
  <c r="B29" i="43"/>
  <c r="C29" i="43" s="1"/>
  <c r="L25" i="41"/>
  <c r="B26" i="43"/>
  <c r="C26" i="43" s="1"/>
  <c r="L20" i="41"/>
  <c r="B21" i="43"/>
  <c r="C21" i="43" s="1"/>
  <c r="B127" i="25"/>
  <c r="N103" i="41"/>
  <c r="N32" i="41"/>
  <c r="L33" i="43"/>
  <c r="M33" i="43" s="1"/>
  <c r="L30" i="43"/>
  <c r="M30" i="43" s="1"/>
  <c r="N29" i="41"/>
  <c r="N36" i="41"/>
  <c r="L37" i="43"/>
  <c r="M37" i="43" s="1"/>
  <c r="L32" i="43"/>
  <c r="M32" i="43" s="1"/>
  <c r="N31" i="41"/>
  <c r="L23" i="43"/>
  <c r="M23" i="43" s="1"/>
  <c r="N22" i="41"/>
  <c r="N20" i="41"/>
  <c r="L21" i="43"/>
  <c r="M21" i="43" s="1"/>
  <c r="N23" i="41"/>
  <c r="L24" i="43"/>
  <c r="M24" i="43" s="1"/>
  <c r="N26" i="41"/>
  <c r="L27" i="43"/>
  <c r="M27" i="43" s="1"/>
  <c r="B130" i="25"/>
  <c r="N106" i="4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Karagianni, Eirini</author>
    <author>jerome baddley</author>
    <author>Bramwell, Rebekah</author>
    <author>Rebekah Watson</author>
  </authors>
  <commentList>
    <comment ref="M6" authorId="0" shapeId="0" xr:uid="{D28F8393-A32A-49F2-8A69-9718A2C720DF}">
      <text>
        <r>
          <rPr>
            <b/>
            <sz val="8"/>
            <rFont val="Tahoma"/>
            <family val="2"/>
          </rPr>
          <t>kg CO₂e per unit</t>
        </r>
      </text>
    </comment>
    <comment ref="N6" authorId="0" shapeId="0" xr:uid="{B96D6AA8-4B17-40E7-94D2-CC3A6A9F5196}">
      <text>
        <r>
          <rPr>
            <b/>
            <sz val="8"/>
            <rFont val="Tahoma"/>
            <family val="2"/>
          </rPr>
          <t>kg CO₂e of CO₂ per unit</t>
        </r>
      </text>
    </comment>
    <comment ref="O6" authorId="0" shapeId="0" xr:uid="{ED7EDD54-6104-4236-B20E-B5983BAE99B6}">
      <text>
        <r>
          <rPr>
            <b/>
            <sz val="8"/>
            <rFont val="Tahoma"/>
            <family val="2"/>
          </rPr>
          <t>kg CO₂e of CH₄ per unit</t>
        </r>
      </text>
    </comment>
    <comment ref="P6" authorId="0" shapeId="0" xr:uid="{354F74FC-37CD-4842-B1BB-5F50B29AA9B3}">
      <text>
        <r>
          <rPr>
            <b/>
            <sz val="8"/>
            <rFont val="Tahoma"/>
            <family val="2"/>
          </rPr>
          <t>kg CO₂e of N₂O per unit</t>
        </r>
      </text>
    </comment>
    <comment ref="BB6" authorId="0" shapeId="0" xr:uid="{B6D9376F-5B1A-4691-A52E-B6BBB76B0A16}">
      <text>
        <r>
          <rPr>
            <b/>
            <sz val="8"/>
            <rFont val="Tahoma"/>
            <family val="2"/>
          </rPr>
          <t>Including the influence of non-CO₂ climate change effects of aviation (water vapour, contrails, NOx etc)</t>
        </r>
      </text>
    </comment>
    <comment ref="CP6" authorId="0" shapeId="0" xr:uid="{8D2279B8-D24B-49D7-92D9-D716663AB690}">
      <text>
        <r>
          <rPr>
            <b/>
            <sz val="8"/>
            <rFont val="Tahoma"/>
            <family val="2"/>
          </rPr>
          <t>A compressed version of the same natural gas you receive in the home.  Used as an alternative vehicle fuel.</t>
        </r>
      </text>
    </comment>
    <comment ref="CT6" authorId="0" shapeId="0" xr:uid="{8D6CF8F5-AB37-4884-A2D0-8E4EDB1AF273}">
      <text>
        <r>
          <rPr>
            <b/>
            <sz val="8"/>
            <rFont val="Tahoma"/>
            <family val="2"/>
          </rPr>
          <t>Alternative fuel stored in gas tanks.  Often known as 'autogas'.</t>
        </r>
      </text>
    </comment>
    <comment ref="DM6" authorId="0" shapeId="0" xr:uid="{4A11A372-78B1-4D76-AD3A-5A9F32BD5C07}">
      <text>
        <r>
          <rPr>
            <b/>
            <sz val="8"/>
            <rFont val="Tahoma"/>
            <family val="2"/>
          </rPr>
          <t>kg CO₂e per unit</t>
        </r>
      </text>
    </comment>
    <comment ref="DR6" authorId="0" shapeId="0" xr:uid="{C41801FE-7FC4-4EE0-93F9-7DDD8B0369B3}">
      <text>
        <r>
          <rPr>
            <b/>
            <sz val="8"/>
            <rFont val="Tahoma"/>
            <family val="2"/>
          </rPr>
          <t>kg CO₂e per unit</t>
        </r>
      </text>
    </comment>
    <comment ref="S7" authorId="0" shapeId="0" xr:uid="{E9273DF3-40BF-4F4B-9074-27A9D5D225B1}">
      <text>
        <r>
          <rPr>
            <b/>
            <sz val="8"/>
            <rFont val="Tahoma"/>
            <family val="2"/>
          </rPr>
          <t>Renewable fuel derived from common crops (such as sugar cane and sugar beet).</t>
        </r>
      </text>
    </comment>
    <comment ref="BB7" authorId="0" shapeId="0" xr:uid="{4F05A65D-6354-4E70-A9B4-62F9F155E1CC}">
      <text>
        <r>
          <rPr>
            <b/>
            <sz val="8"/>
            <rFont val="Tahoma"/>
            <family val="2"/>
          </rPr>
          <t>kg CO₂e per unit</t>
        </r>
      </text>
    </comment>
    <comment ref="BC7" authorId="0" shapeId="0" xr:uid="{08885CA5-4FB4-44BE-9C42-0BD92FB0FD19}">
      <text>
        <r>
          <rPr>
            <b/>
            <sz val="8"/>
            <rFont val="Tahoma"/>
            <family val="2"/>
          </rPr>
          <t>kg CO₂e of CO₂ per unit</t>
        </r>
      </text>
    </comment>
    <comment ref="BD7" authorId="0" shapeId="0" xr:uid="{5DEA955E-0669-4421-97F0-10B5C83521DE}">
      <text>
        <r>
          <rPr>
            <b/>
            <sz val="8"/>
            <rFont val="Tahoma"/>
            <family val="2"/>
          </rPr>
          <t>kg CO₂e of CH₄ per unit</t>
        </r>
      </text>
    </comment>
    <comment ref="BE7" authorId="0" shapeId="0" xr:uid="{D72982DA-6708-4D65-800E-37FF77FB309F}">
      <text>
        <r>
          <rPr>
            <b/>
            <sz val="8"/>
            <rFont val="Tahoma"/>
            <family val="2"/>
          </rPr>
          <t>kg CO₂e of N₂O per unit</t>
        </r>
      </text>
    </comment>
    <comment ref="BJ7" authorId="0" shapeId="0" xr:uid="{846C5C53-7A44-4554-8694-D76E6F351CF2}">
      <text>
        <r>
          <rPr>
            <b/>
            <sz val="8"/>
            <rFont val="Tahoma"/>
            <family val="2"/>
          </rPr>
          <t>kg CO₂e per unit</t>
        </r>
      </text>
    </comment>
    <comment ref="BK7" authorId="0" shapeId="0" xr:uid="{0703C5D6-95D4-4414-BE1D-0F39F96998D7}">
      <text>
        <r>
          <rPr>
            <b/>
            <sz val="8"/>
            <rFont val="Tahoma"/>
            <family val="2"/>
          </rPr>
          <t>kg CO₂e of CO₂ per unit</t>
        </r>
      </text>
    </comment>
    <comment ref="BL7" authorId="0" shapeId="0" xr:uid="{E535638D-027A-4642-988F-7FB687A521C2}">
      <text>
        <r>
          <rPr>
            <b/>
            <sz val="8"/>
            <rFont val="Tahoma"/>
            <family val="2"/>
          </rPr>
          <t>kg CO₂e of CH₄ per unit</t>
        </r>
      </text>
    </comment>
    <comment ref="BM7" authorId="0" shapeId="0" xr:uid="{697B9F7A-3008-4829-89A8-8FCDE5E5370F}">
      <text>
        <r>
          <rPr>
            <b/>
            <sz val="8"/>
            <rFont val="Tahoma"/>
            <family val="2"/>
          </rPr>
          <t>kg CO₂e of N₂O per unit</t>
        </r>
      </text>
    </comment>
    <comment ref="BR7" authorId="0" shapeId="0" xr:uid="{317A831D-3FBF-4918-9162-B063FDFB217C}">
      <text>
        <r>
          <rPr>
            <b/>
            <sz val="8"/>
            <rFont val="Tahoma"/>
            <family val="2"/>
          </rPr>
          <t>kg CO₂e per unit</t>
        </r>
      </text>
    </comment>
    <comment ref="BS7" authorId="0" shapeId="0" xr:uid="{B569246C-7895-4752-B70E-9A2749BEA6B0}">
      <text>
        <r>
          <rPr>
            <b/>
            <sz val="8"/>
            <rFont val="Tahoma"/>
            <family val="2"/>
          </rPr>
          <t>kg CO₂e of CO₂ per unit</t>
        </r>
      </text>
    </comment>
    <comment ref="BT7" authorId="0" shapeId="0" xr:uid="{7641BF1D-9AE8-4699-A864-CB7143F014FD}">
      <text>
        <r>
          <rPr>
            <b/>
            <sz val="8"/>
            <rFont val="Tahoma"/>
            <family val="2"/>
          </rPr>
          <t>kg CO₂e of CH₄ per unit</t>
        </r>
      </text>
    </comment>
    <comment ref="BU7" authorId="0" shapeId="0" xr:uid="{C5A8D9B5-61C8-4008-8B2A-5FE65C9273E0}">
      <text>
        <r>
          <rPr>
            <b/>
            <sz val="8"/>
            <rFont val="Tahoma"/>
            <family val="2"/>
          </rPr>
          <t>kg CO₂e of N₂O per unit</t>
        </r>
      </text>
    </comment>
    <comment ref="CH7" authorId="0" shapeId="0" xr:uid="{AA932B47-54FD-4D13-AD1C-51E09582C67E}">
      <text>
        <r>
          <rPr>
            <b/>
            <sz val="8"/>
            <rFont val="Tahoma"/>
            <family val="2"/>
          </rPr>
          <t>kg CO₂e per unit</t>
        </r>
      </text>
    </comment>
    <comment ref="CI7" authorId="0" shapeId="0" xr:uid="{8B1110EC-462B-429A-A50E-787C5B85F1B5}">
      <text>
        <r>
          <rPr>
            <b/>
            <sz val="8"/>
            <rFont val="Tahoma"/>
            <family val="2"/>
          </rPr>
          <t>kg CO₂e of CO₂ per unit</t>
        </r>
      </text>
    </comment>
    <comment ref="CJ7" authorId="0" shapeId="0" xr:uid="{BA932A0E-CA17-4F06-A4B2-7D9E87A08020}">
      <text>
        <r>
          <rPr>
            <b/>
            <sz val="8"/>
            <rFont val="Tahoma"/>
            <family val="2"/>
          </rPr>
          <t>kg CO₂e of CH₄ per unit</t>
        </r>
      </text>
    </comment>
    <comment ref="CK7" authorId="0" shapeId="0" xr:uid="{4C81AC45-8DCF-4D10-AA4E-6D1EA7320792}">
      <text>
        <r>
          <rPr>
            <b/>
            <sz val="8"/>
            <rFont val="Tahoma"/>
            <family val="2"/>
          </rPr>
          <t>kg CO₂e of N₂O per unit</t>
        </r>
      </text>
    </comment>
    <comment ref="CL7" authorId="0" shapeId="0" xr:uid="{EFFFFA26-31B5-452E-AEA7-DA7F9C4B69D5}">
      <text>
        <r>
          <rPr>
            <b/>
            <sz val="8"/>
            <rFont val="Tahoma"/>
            <family val="2"/>
          </rPr>
          <t>kg CO₂e per unit</t>
        </r>
      </text>
    </comment>
    <comment ref="CM7" authorId="0" shapeId="0" xr:uid="{A0835E89-C5B8-44A4-98E5-EA9F75A334EC}">
      <text>
        <r>
          <rPr>
            <b/>
            <sz val="8"/>
            <rFont val="Tahoma"/>
            <family val="2"/>
          </rPr>
          <t>kg CO₂e of CO₂ per unit</t>
        </r>
      </text>
    </comment>
    <comment ref="CN7" authorId="0" shapeId="0" xr:uid="{95D1CF23-2FB4-4455-BFA3-C8F7FCEEBB14}">
      <text>
        <r>
          <rPr>
            <b/>
            <sz val="8"/>
            <rFont val="Tahoma"/>
            <family val="2"/>
          </rPr>
          <t>kg CO₂e of CH₄ per unit</t>
        </r>
      </text>
    </comment>
    <comment ref="CO7" authorId="0" shapeId="0" xr:uid="{47957752-32BE-4619-A3E8-BD32BE15EBB4}">
      <text>
        <r>
          <rPr>
            <b/>
            <sz val="8"/>
            <rFont val="Tahoma"/>
            <family val="2"/>
          </rPr>
          <t>kg CO₂e of N₂O per unit</t>
        </r>
      </text>
    </comment>
    <comment ref="CP7" authorId="0" shapeId="0" xr:uid="{986A2EDC-48A0-40C2-99A2-20A5FDB0083F}">
      <text>
        <r>
          <rPr>
            <b/>
            <sz val="8"/>
            <rFont val="Tahoma"/>
            <family val="2"/>
          </rPr>
          <t>kg CO₂e per unit</t>
        </r>
      </text>
    </comment>
    <comment ref="CQ7" authorId="0" shapeId="0" xr:uid="{D1A1E689-5B1C-4F26-A77E-00B9BB5FEF07}">
      <text>
        <r>
          <rPr>
            <b/>
            <sz val="8"/>
            <rFont val="Tahoma"/>
            <family val="2"/>
          </rPr>
          <t>kg CO₂e of CO₂ per unit</t>
        </r>
      </text>
    </comment>
    <comment ref="CR7" authorId="0" shapeId="0" xr:uid="{3676E875-66CE-4263-B6A8-A3EC33E010E9}">
      <text>
        <r>
          <rPr>
            <b/>
            <sz val="8"/>
            <rFont val="Tahoma"/>
            <family val="2"/>
          </rPr>
          <t>kg CO₂e of CH₄ per unit</t>
        </r>
      </text>
    </comment>
    <comment ref="CS7" authorId="0" shapeId="0" xr:uid="{E18AC0E6-D9B2-439F-A61A-3D9C36E5B948}">
      <text>
        <r>
          <rPr>
            <b/>
            <sz val="8"/>
            <rFont val="Tahoma"/>
            <family val="2"/>
          </rPr>
          <t>kg CO₂e of N₂O per unit</t>
        </r>
      </text>
    </comment>
    <comment ref="CT7" authorId="0" shapeId="0" xr:uid="{FEF1B335-A924-441E-BF98-2F02E88019C6}">
      <text>
        <r>
          <rPr>
            <b/>
            <sz val="8"/>
            <rFont val="Tahoma"/>
            <family val="2"/>
          </rPr>
          <t>kg CO₂e per unit</t>
        </r>
      </text>
    </comment>
    <comment ref="CU7" authorId="0" shapeId="0" xr:uid="{EF63C4C9-8517-4A82-B0BC-D269E5D79B7A}">
      <text>
        <r>
          <rPr>
            <b/>
            <sz val="8"/>
            <rFont val="Tahoma"/>
            <family val="2"/>
          </rPr>
          <t>kg CO₂e of CO₂ per unit</t>
        </r>
      </text>
    </comment>
    <comment ref="CV7" authorId="0" shapeId="0" xr:uid="{8B49D86B-48B1-4939-BABF-0BECE2A03042}">
      <text>
        <r>
          <rPr>
            <b/>
            <sz val="8"/>
            <rFont val="Tahoma"/>
            <family val="2"/>
          </rPr>
          <t>kg CO₂e of CH₄ per unit</t>
        </r>
      </text>
    </comment>
    <comment ref="CW7" authorId="0" shapeId="0" xr:uid="{C3A468C3-376C-41A9-9BDC-B77C83FAD1B6}">
      <text>
        <r>
          <rPr>
            <b/>
            <sz val="8"/>
            <rFont val="Tahoma"/>
            <family val="2"/>
          </rPr>
          <t>kg CO₂e of N₂O per unit</t>
        </r>
      </text>
    </comment>
    <comment ref="DB7" authorId="0" shapeId="0" xr:uid="{5841E52A-27F2-4DB1-8C87-601C31F0966E}">
      <text>
        <r>
          <rPr>
            <b/>
            <sz val="8"/>
            <rFont val="Tahoma"/>
            <family val="2"/>
          </rPr>
          <t>kg CO₂e per unit</t>
        </r>
      </text>
    </comment>
    <comment ref="DC7" authorId="0" shapeId="0" xr:uid="{2EAA5A28-7415-4921-8ABE-DB93D2FC32ED}">
      <text>
        <r>
          <rPr>
            <b/>
            <sz val="8"/>
            <rFont val="Tahoma"/>
            <family val="2"/>
          </rPr>
          <t>kg CO₂e of CO₂ per unit</t>
        </r>
      </text>
    </comment>
    <comment ref="DD7" authorId="0" shapeId="0" xr:uid="{AD1D115F-9CE3-4730-B4AD-6504BF8D8528}">
      <text>
        <r>
          <rPr>
            <b/>
            <sz val="8"/>
            <rFont val="Tahoma"/>
            <family val="2"/>
          </rPr>
          <t>kg CO₂e of CH₄ per unit</t>
        </r>
      </text>
    </comment>
    <comment ref="DE7" authorId="0" shapeId="0" xr:uid="{32834229-B3FD-473F-8A2A-104BECF57FDD}">
      <text>
        <r>
          <rPr>
            <b/>
            <sz val="8"/>
            <rFont val="Tahoma"/>
            <family val="2"/>
          </rPr>
          <t>kg CO₂e of N₂O per unit</t>
        </r>
      </text>
    </comment>
    <comment ref="DF7" authorId="0" shapeId="0" xr:uid="{A40EDE84-7787-4621-B4E3-01BE513D315E}">
      <text>
        <r>
          <rPr>
            <b/>
            <sz val="8"/>
            <rFont val="Tahoma"/>
            <family val="2"/>
          </rPr>
          <t>kg CO₂e per unit</t>
        </r>
      </text>
    </comment>
    <comment ref="DG7" authorId="0" shapeId="0" xr:uid="{0A8AB3DD-D3FD-4257-BAF5-945D8899EEFC}">
      <text>
        <r>
          <rPr>
            <b/>
            <sz val="8"/>
            <rFont val="Tahoma"/>
            <family val="2"/>
          </rPr>
          <t>kg CO₂e of CO₂ per unit</t>
        </r>
      </text>
    </comment>
    <comment ref="DH7" authorId="0" shapeId="0" xr:uid="{7CF68F50-3624-49EE-A7A1-00F458274AF2}">
      <text>
        <r>
          <rPr>
            <b/>
            <sz val="8"/>
            <rFont val="Tahoma"/>
            <family val="2"/>
          </rPr>
          <t>kg CO₂e of CH₄ per unit</t>
        </r>
      </text>
    </comment>
    <comment ref="DI7" authorId="0" shapeId="0" xr:uid="{D19337C6-370A-4536-AA1F-0317E8DE316F}">
      <text>
        <r>
          <rPr>
            <b/>
            <sz val="8"/>
            <rFont val="Tahoma"/>
            <family val="2"/>
          </rPr>
          <t>kg CO₂e of N₂O per unit</t>
        </r>
      </text>
    </comment>
    <comment ref="DK7" authorId="0" shapeId="0" xr:uid="{BCA36813-0E57-400F-92B4-587714A72724}">
      <text>
        <r>
          <rPr>
            <b/>
            <sz val="8"/>
            <rFont val="Tahoma"/>
            <family val="2"/>
          </rPr>
          <t>Gases regulated under the agreed 'Kyoto Protocol' which is an international treaty that set binding GHG reduction obligations for 37 industrialised countries.</t>
        </r>
      </text>
    </comment>
    <comment ref="DO7" authorId="0" shapeId="0" xr:uid="{4B1D9F6D-8DD8-4F9B-998B-E7D4F96CA14D}">
      <text>
        <r>
          <rPr>
            <b/>
            <sz val="8"/>
            <rFont val="Tahoma"/>
            <family val="2"/>
          </rPr>
          <t>Gases regulated under the agreed 'Kyoto Protocol' which is an international treaty that set binding GHG reduction obligations for 37 industrialised countries.</t>
        </r>
      </text>
    </comment>
    <comment ref="ES7" authorId="0" shapeId="0" xr:uid="{E526B2F8-965A-4E0C-9CC8-3E13DD63FF77}">
      <text>
        <r>
          <rPr>
            <b/>
            <sz val="8"/>
            <rFont val="Tahoma"/>
            <family val="2"/>
          </rPr>
          <t>kg CO₂e per unit</t>
        </r>
      </text>
    </comment>
    <comment ref="ET7" authorId="0" shapeId="0" xr:uid="{1C90E08B-6DFC-4FB5-B8FD-B9979FEE4A5C}">
      <text>
        <r>
          <rPr>
            <b/>
            <sz val="8"/>
            <rFont val="Tahoma"/>
            <family val="2"/>
          </rPr>
          <t>kg CO₂e of CO₂ per unit</t>
        </r>
      </text>
    </comment>
    <comment ref="EU7" authorId="0" shapeId="0" xr:uid="{EDF50743-E45F-4A95-B8B1-B3B5EA051F14}">
      <text>
        <r>
          <rPr>
            <b/>
            <sz val="8"/>
            <rFont val="Tahoma"/>
            <family val="2"/>
          </rPr>
          <t>kg CO₂e of CH₄ per unit</t>
        </r>
      </text>
    </comment>
    <comment ref="EV7" authorId="0" shapeId="0" xr:uid="{F052BB5C-02E8-437A-B9A8-6096028243CC}">
      <text>
        <r>
          <rPr>
            <b/>
            <sz val="8"/>
            <rFont val="Tahoma"/>
            <family val="2"/>
          </rPr>
          <t>kg CO₂e of N₂O per unit</t>
        </r>
      </text>
    </comment>
    <comment ref="EW7" authorId="0" shapeId="0" xr:uid="{BCA73CA9-99CF-4AA9-AAD8-56CAE51F3F26}">
      <text>
        <r>
          <rPr>
            <b/>
            <sz val="8"/>
            <rFont val="Tahoma"/>
            <family val="2"/>
          </rPr>
          <t>kg CO₂e per unit</t>
        </r>
      </text>
    </comment>
    <comment ref="EX7" authorId="0" shapeId="0" xr:uid="{DDF09D1F-9CE3-42A4-9FB8-575BB7D9BB18}">
      <text>
        <r>
          <rPr>
            <b/>
            <sz val="8"/>
            <rFont val="Tahoma"/>
            <family val="2"/>
          </rPr>
          <t>kg CO₂e of CO₂ per unit</t>
        </r>
      </text>
    </comment>
    <comment ref="EY7" authorId="0" shapeId="0" xr:uid="{60BC3AE1-2B9E-437E-96A2-ECC8CE1983F7}">
      <text>
        <r>
          <rPr>
            <b/>
            <sz val="8"/>
            <rFont val="Tahoma"/>
            <family val="2"/>
          </rPr>
          <t>kg CO₂e of CH₄ per unit</t>
        </r>
      </text>
    </comment>
    <comment ref="EZ7" authorId="0" shapeId="0" xr:uid="{D5F24F30-7CA2-4408-93EC-8761B49BD4A4}">
      <text>
        <r>
          <rPr>
            <b/>
            <sz val="8"/>
            <rFont val="Tahoma"/>
            <family val="2"/>
          </rPr>
          <t>kg CO₂e of N₂O per unit</t>
        </r>
      </text>
    </comment>
    <comment ref="AY8" authorId="0" shapeId="0" xr:uid="{1414F78E-BB5F-4183-BAE2-608ACB76BA98}">
      <text>
        <r>
          <rPr>
            <b/>
            <sz val="8"/>
            <rFont val="Tahoma"/>
            <family val="2"/>
          </rPr>
          <t>Domestic flights are those between UK airports.</t>
        </r>
      </text>
    </comment>
    <comment ref="BA8" authorId="0" shapeId="0" xr:uid="{54CCC80B-3BB6-43EB-ACC8-225B568BF8B3}">
      <text>
        <r>
          <rPr>
            <b/>
            <sz val="8"/>
            <rFont val="Tahoma"/>
            <family val="2"/>
          </rPr>
          <t>The distance travelled by individual passengers per transport mode.</t>
        </r>
      </text>
    </comment>
    <comment ref="BI8" authorId="0" shapeId="0" xr:uid="{8032684B-B283-4CF9-A81A-0F086BD36B02}">
      <text>
        <r>
          <rPr>
            <b/>
            <sz val="8"/>
            <rFont val="Tahoma"/>
            <family val="2"/>
          </rPr>
          <t>The distance travelled by individual passengers a transport mode</t>
        </r>
      </text>
    </comment>
    <comment ref="BP8" authorId="0" shapeId="0" xr:uid="{FB6673B9-99C4-4518-990B-B5B58F606547}">
      <text>
        <r>
          <rPr>
            <b/>
            <sz val="8"/>
            <rFont val="Tahoma"/>
            <family val="2"/>
          </rPr>
          <t>Petrol/LPG/CNG - up to a 1.4-litre engine
Diesel - up to a 1.7-litre engine
Others - vehicles models of a similar size (i.e. market segment A or B)</t>
        </r>
      </text>
    </comment>
    <comment ref="CE8" authorId="0" shapeId="0" xr:uid="{DC7FEF84-9A20-485C-A16D-52091464E95C}">
      <text>
        <r>
          <rPr>
            <b/>
            <sz val="8"/>
            <rFont val="Tahoma"/>
            <family val="2"/>
          </rPr>
          <t>Large goods vehicles (vans up to 3.5 tonnes).</t>
        </r>
      </text>
    </comment>
    <comment ref="CZ8" authorId="0" shapeId="0" xr:uid="{4F08971B-3D8A-49BA-87EA-3E3277A34210}">
      <text>
        <r>
          <rPr>
            <b/>
            <sz val="8"/>
            <rFont val="Tahoma"/>
            <family val="2"/>
          </rPr>
          <t>Petrol/LPG/CNG - up to a 1.4-litre engine
Diesel - up to a 1.7-litre engine
Others - vehicles models of a similar size (i.e. market segment A or B)</t>
        </r>
      </text>
    </comment>
    <comment ref="ER8" authorId="0" shapeId="0" xr:uid="{E80B2292-83BE-4284-AB5E-865499DD55FC}">
      <text>
        <r>
          <rPr>
            <b/>
            <sz val="8"/>
            <rFont val="Tahoma"/>
            <family val="2"/>
          </rPr>
          <t>An equivalent measure of one tonne of transported goods over one km.</t>
        </r>
      </text>
    </comment>
    <comment ref="AY9" authorId="0" shapeId="0" xr:uid="{F5F85184-B58F-47FE-AD83-FB127F3401B3}">
      <text>
        <r>
          <rPr>
            <b/>
            <sz val="8"/>
            <rFont val="Tahoma"/>
            <family val="2"/>
          </rPr>
          <t>International flights to/from the UK, typically to Europe (up to 3700km distance).</t>
        </r>
      </text>
    </comment>
    <comment ref="BA9" authorId="1" shapeId="0" xr:uid="{7D309023-171E-4F18-B371-63462E63613B}">
      <text>
        <r>
          <rPr>
            <b/>
            <sz val="8"/>
            <color indexed="81"/>
            <rFont val="Tahoma"/>
            <family val="2"/>
          </rPr>
          <t>The distance travelled by individual passengers per transport mode.</t>
        </r>
      </text>
    </comment>
    <comment ref="BI9" authorId="0" shapeId="0" xr:uid="{51FBAF56-7F60-4161-9582-2C706911ADC9}">
      <text>
        <r>
          <rPr>
            <b/>
            <sz val="8"/>
            <rFont val="Tahoma"/>
            <family val="2"/>
          </rPr>
          <t>The distance travelled by individual passengers a transport mode</t>
        </r>
      </text>
    </comment>
    <comment ref="S10" authorId="0" shapeId="0" xr:uid="{1F034F35-841A-455B-99A2-05415B3E2952}">
      <text>
        <r>
          <rPr>
            <b/>
            <sz val="8"/>
            <rFont val="Tahoma"/>
            <family val="2"/>
          </rPr>
          <t>Renewable fuel almost exclusively derived from common natural oils (for example, vegetable oils).</t>
        </r>
      </text>
    </comment>
    <comment ref="BA10" authorId="1" shapeId="0" xr:uid="{3687B40D-8D8E-4DF6-90C9-E7A8D420DCAD}">
      <text>
        <r>
          <rPr>
            <b/>
            <sz val="8"/>
            <color indexed="81"/>
            <rFont val="Tahoma"/>
            <family val="2"/>
          </rPr>
          <t>The distance travelled by individual passengers per transport mode.</t>
        </r>
      </text>
    </comment>
    <comment ref="BI10" authorId="0" shapeId="0" xr:uid="{4A537A25-1871-4AE0-A2F9-CBAD3D97AE55}">
      <text>
        <r>
          <rPr>
            <b/>
            <sz val="8"/>
            <rFont val="Tahoma"/>
            <family val="2"/>
          </rPr>
          <t>The distance travelled by individual passengers a transport mode</t>
        </r>
      </text>
    </comment>
    <comment ref="BP10" authorId="0" shapeId="0" xr:uid="{86857414-4EE2-450D-902C-15A7046F7268}">
      <text>
        <r>
          <rPr>
            <b/>
            <sz val="8"/>
            <rFont val="Tahoma"/>
            <family val="2"/>
          </rPr>
          <t>Petrol/LPG/CNG - from 1.4-litre to 2.0-litre engine
Diesel - from 1.7-litre to 2.0-litre engine
Others - vehicles models of a similar size (i.e. generally market segment C)</t>
        </r>
      </text>
    </comment>
    <comment ref="CZ10" authorId="0" shapeId="0" xr:uid="{9E4176A8-0F82-48AD-B860-25E1134115B0}">
      <text>
        <r>
          <rPr>
            <b/>
            <sz val="8"/>
            <rFont val="Tahoma"/>
            <family val="2"/>
          </rPr>
          <t>Petrol/LPG/CNG - from 1.4-litre to 2.0-litre engine
Diesel - from 1.7-litre to 2.0-litre engine
Others - vehicles models of a similar size (i.e. generally market segment C)</t>
        </r>
      </text>
    </comment>
    <comment ref="K11" authorId="0" shapeId="0" xr:uid="{3E785F2B-6754-4B13-8D07-CFDF66A48CA3}">
      <text>
        <r>
          <rPr>
            <b/>
            <sz val="8"/>
            <rFont val="Tahoma"/>
            <family val="2"/>
          </rPr>
          <t>Compressed natural gas - a compressed version of the same natural gas used in homes. Stored in cylinders for use as an alternative transport fuel.</t>
        </r>
      </text>
    </comment>
    <comment ref="BA11" authorId="1" shapeId="0" xr:uid="{51C97F2F-36D0-4335-B397-664AF48C8B2E}">
      <text>
        <r>
          <rPr>
            <b/>
            <sz val="8"/>
            <color indexed="81"/>
            <rFont val="Tahoma"/>
            <family val="2"/>
          </rPr>
          <t>The distance travelled by individual passengers per transport mode.</t>
        </r>
      </text>
    </comment>
    <comment ref="ER11" authorId="0" shapeId="0" xr:uid="{7BB0B9EA-4C8C-4EF8-94B2-27DCB34F7E7E}">
      <text>
        <r>
          <rPr>
            <b/>
            <sz val="8"/>
            <rFont val="Tahoma"/>
            <family val="2"/>
          </rPr>
          <t>An equivalent measure of one tonne of transported goods over one km.</t>
        </r>
      </text>
    </comment>
    <comment ref="AY12" authorId="0" shapeId="0" xr:uid="{76BB5AB6-6BE9-49C2-9397-C4637970737C}">
      <text>
        <r>
          <rPr>
            <b/>
            <sz val="8"/>
            <rFont val="Tahoma"/>
            <family val="2"/>
          </rPr>
          <t>Long-haul international flights to/from the UK, typically to non-European destinations (over 3700km distance).</t>
        </r>
      </text>
    </comment>
    <comment ref="BA12" authorId="1" shapeId="0" xr:uid="{42065C4A-6759-4924-92AB-AC7888F8F9F0}">
      <text>
        <r>
          <rPr>
            <b/>
            <sz val="8"/>
            <color indexed="81"/>
            <rFont val="Tahoma"/>
            <family val="2"/>
          </rPr>
          <t>The distance travelled by individual passengers per transport mode.</t>
        </r>
      </text>
    </comment>
    <comment ref="BP12" authorId="0" shapeId="0" xr:uid="{259EE164-B0A1-4DE5-AE8D-9B322FE1B15A}">
      <text>
        <r>
          <rPr>
            <b/>
            <sz val="8"/>
            <rFont val="Tahoma"/>
            <family val="2"/>
          </rPr>
          <t>Petrol/LPG/CNG - 2.0-litre engine +
Diesel - 2.0-litre engine +
Others - vehicles models of a similar size (i.e. generally market segment D and above)</t>
        </r>
      </text>
    </comment>
    <comment ref="CZ12" authorId="0" shapeId="0" xr:uid="{3F0975BB-9C78-4514-A292-FCF915A3C732}">
      <text>
        <r>
          <rPr>
            <b/>
            <sz val="8"/>
            <rFont val="Tahoma"/>
            <family val="2"/>
          </rPr>
          <t>Petrol/LPG/CNG - 2.0-litre engine +
Diesel - 2.0-litre engine +
Others - vehicles models of a similar size (i.e. generally market segment D and above)</t>
        </r>
      </text>
    </comment>
    <comment ref="S13" authorId="0" shapeId="0" xr:uid="{D6917D9A-EB91-4951-BEF1-E0C95622D7A1}">
      <text>
        <r>
          <rPr>
            <b/>
            <sz val="8"/>
            <rFont val="Tahoma"/>
            <family val="2"/>
          </rPr>
          <t>The methane constituent of biogas.  Biogas comes from anaerobic digestion of organic matter.</t>
        </r>
      </text>
    </comment>
    <comment ref="BA13" authorId="1" shapeId="0" xr:uid="{B56DB2AB-AF41-4F1A-8F75-0E327BA3CC95}">
      <text>
        <r>
          <rPr>
            <b/>
            <sz val="8"/>
            <color indexed="81"/>
            <rFont val="Tahoma"/>
            <family val="2"/>
          </rPr>
          <t>The distance travelled by individual passengers per transport mode.</t>
        </r>
      </text>
    </comment>
    <comment ref="BZ13" authorId="2" shapeId="0" xr:uid="{42EE8B04-C26E-4D5E-93FE-0CCD6C3B1CA5}">
      <text>
        <r>
          <rPr>
            <b/>
            <sz val="9"/>
            <color indexed="81"/>
            <rFont val="Tahoma"/>
            <family val="2"/>
          </rPr>
          <t>jerome baddley:</t>
        </r>
        <r>
          <rPr>
            <sz val="9"/>
            <color indexed="81"/>
            <rFont val="Tahoma"/>
            <family val="2"/>
          </rPr>
          <t xml:space="preserve">
no petrol trucks of this type exist, this factor is for diesel</t>
        </r>
      </text>
    </comment>
    <comment ref="BA14" authorId="1" shapeId="0" xr:uid="{5D57476A-C826-44A2-AB78-C8CADC582248}">
      <text>
        <r>
          <rPr>
            <b/>
            <sz val="8"/>
            <color indexed="81"/>
            <rFont val="Tahoma"/>
            <family val="2"/>
          </rPr>
          <t>The distance travelled by individual passengers per transport mode.</t>
        </r>
      </text>
    </comment>
    <comment ref="CZ14" authorId="0" shapeId="0" xr:uid="{3EA855C6-1BA9-4FB4-9AF2-1B728A7FBCD2}">
      <text>
        <r>
          <rPr>
            <b/>
            <sz val="8"/>
            <rFont val="Tahoma"/>
            <family val="2"/>
          </rPr>
          <t>Unknown engine size.</t>
        </r>
      </text>
    </comment>
    <comment ref="ER14" authorId="0" shapeId="0" xr:uid="{B5F8C8A3-ED82-4217-AD2E-DC54466AB234}">
      <text>
        <r>
          <rPr>
            <b/>
            <sz val="8"/>
            <rFont val="Tahoma"/>
            <family val="2"/>
          </rPr>
          <t>An equivalent measure of one tonne of transported goods over one km.</t>
        </r>
      </text>
    </comment>
    <comment ref="K15" authorId="0" shapeId="0" xr:uid="{D3E28B06-98D4-4E44-9036-ACCE06CF8C55}">
      <text>
        <r>
          <rPr>
            <b/>
            <sz val="8"/>
            <rFont val="Tahoma"/>
            <family val="2"/>
          </rPr>
          <t xml:space="preserve">Liquefied natural gas- in a liquid state, this is the easiest way to transport gas in tankers (truck or ship). It can be used as an alternative transport fuel.
</t>
        </r>
      </text>
    </comment>
    <comment ref="BA15" authorId="1" shapeId="0" xr:uid="{2BFFC517-C994-4896-BAD1-483C9BB3EECF}">
      <text>
        <r>
          <rPr>
            <b/>
            <sz val="8"/>
            <color indexed="81"/>
            <rFont val="Tahoma"/>
            <family val="2"/>
          </rPr>
          <t>The distance travelled by individual passengers per transport mode.</t>
        </r>
      </text>
    </comment>
    <comment ref="BR15" authorId="0" shapeId="0" xr:uid="{F05FEA9D-9C31-48D9-83D9-479EED6484FF}">
      <text>
        <r>
          <rPr>
            <b/>
            <sz val="8"/>
            <rFont val="Tahoma"/>
            <family val="2"/>
          </rPr>
          <t>kg CO₂e per unit</t>
        </r>
      </text>
    </comment>
    <comment ref="BS15" authorId="0" shapeId="0" xr:uid="{E09B3FA2-5272-4C61-A991-C1E08EFCAAFC}">
      <text>
        <r>
          <rPr>
            <b/>
            <sz val="8"/>
            <rFont val="Tahoma"/>
            <family val="2"/>
          </rPr>
          <t>kg CO₂e of CO₂ per unit</t>
        </r>
      </text>
    </comment>
    <comment ref="BT15" authorId="0" shapeId="0" xr:uid="{B3F9C0E0-4D7B-4984-9769-BABA82B59430}">
      <text>
        <r>
          <rPr>
            <b/>
            <sz val="8"/>
            <rFont val="Tahoma"/>
            <family val="2"/>
          </rPr>
          <t>kg CO₂e of CH₄ per unit</t>
        </r>
      </text>
    </comment>
    <comment ref="BU15" authorId="0" shapeId="0" xr:uid="{31848E06-BB36-4ECC-A34C-1D873DFCE724}">
      <text>
        <r>
          <rPr>
            <b/>
            <sz val="8"/>
            <rFont val="Tahoma"/>
            <family val="2"/>
          </rPr>
          <t>kg CO₂e of N₂O per unit</t>
        </r>
      </text>
    </comment>
    <comment ref="BZ15" authorId="2" shapeId="0" xr:uid="{F6EEFB30-1E1B-40AF-BBEA-8213B32F2E2A}">
      <text>
        <r>
          <rPr>
            <b/>
            <sz val="9"/>
            <color indexed="81"/>
            <rFont val="Tahoma"/>
            <family val="2"/>
          </rPr>
          <t>jerome baddley:</t>
        </r>
        <r>
          <rPr>
            <sz val="9"/>
            <color indexed="81"/>
            <rFont val="Tahoma"/>
            <family val="2"/>
          </rPr>
          <t xml:space="preserve">
no petrol trucks of this type exist, this factor is for diesel</t>
        </r>
      </text>
    </comment>
    <comment ref="S16" authorId="0" shapeId="0" xr:uid="{E6F9999B-23C4-426A-8271-540B59C3CA9E}">
      <text>
        <r>
          <rPr>
            <b/>
            <sz val="8"/>
            <rFont val="Tahoma"/>
            <family val="2"/>
          </rPr>
          <t>Renewable fuel almost exclusively derived from common natural oils (such as vegetable oils).</t>
        </r>
      </text>
    </comment>
    <comment ref="BA16" authorId="1" shapeId="0" xr:uid="{BA58BA6D-8F42-4CBE-9B57-CC454E0E11DC}">
      <text>
        <r>
          <rPr>
            <b/>
            <sz val="8"/>
            <color indexed="81"/>
            <rFont val="Tahoma"/>
            <family val="2"/>
          </rPr>
          <t>The distance travelled by individual passengers per transport mode.</t>
        </r>
      </text>
    </comment>
    <comment ref="AY17" authorId="0" shapeId="0" xr:uid="{67C588F6-2A40-4F14-8311-A3849D7754C8}">
      <text>
        <r>
          <rPr>
            <b/>
            <sz val="8"/>
            <rFont val="Tahoma"/>
            <family val="2"/>
          </rPr>
          <t>International flights to/from non-UK countries.</t>
        </r>
      </text>
    </comment>
    <comment ref="BA17" authorId="1" shapeId="0" xr:uid="{9867B87A-D82E-4477-980B-8771057CD0A2}">
      <text>
        <r>
          <rPr>
            <b/>
            <sz val="8"/>
            <color indexed="81"/>
            <rFont val="Tahoma"/>
            <family val="2"/>
          </rPr>
          <t>The distance travelled by individual passengers per transport mode.</t>
        </r>
      </text>
    </comment>
    <comment ref="BZ17" authorId="2" shapeId="0" xr:uid="{ABCC96E6-B624-4FED-874B-4D46415E080C}">
      <text>
        <r>
          <rPr>
            <b/>
            <sz val="9"/>
            <color indexed="81"/>
            <rFont val="Tahoma"/>
            <family val="2"/>
          </rPr>
          <t>jerome baddley:</t>
        </r>
        <r>
          <rPr>
            <sz val="9"/>
            <color indexed="81"/>
            <rFont val="Tahoma"/>
            <family val="2"/>
          </rPr>
          <t xml:space="preserve">
no petrol trucks of this type exist, this factor is for diesel</t>
        </r>
      </text>
    </comment>
    <comment ref="ER17" authorId="0" shapeId="0" xr:uid="{524928E8-3D40-4283-BB9A-CC079E9C9247}">
      <text>
        <r>
          <rPr>
            <b/>
            <sz val="8"/>
            <rFont val="Tahoma"/>
            <family val="2"/>
          </rPr>
          <t>An equivalent measure of one tonne of transported goods over one km.</t>
        </r>
      </text>
    </comment>
    <comment ref="BA18" authorId="1" shapeId="0" xr:uid="{8D9FDB96-FEC5-4C5E-971E-D96A03836820}">
      <text>
        <r>
          <rPr>
            <b/>
            <sz val="8"/>
            <color indexed="81"/>
            <rFont val="Tahoma"/>
            <family val="2"/>
          </rPr>
          <t>The distance travelled by individual passengers per transport mode.</t>
        </r>
      </text>
    </comment>
    <comment ref="CH18" authorId="0" shapeId="0" xr:uid="{618E3120-5E26-411D-9180-532B72086C95}">
      <text>
        <r>
          <rPr>
            <b/>
            <sz val="8"/>
            <rFont val="Tahoma"/>
            <family val="2"/>
          </rPr>
          <t>Vehicle is not transporting any goods</t>
        </r>
      </text>
    </comment>
    <comment ref="CL18" authorId="0" shapeId="0" xr:uid="{2EAC2299-BB52-4A0D-BFF9-E1E48DA0C82D}">
      <text>
        <r>
          <rPr>
            <b/>
            <sz val="8"/>
            <rFont val="Tahoma"/>
            <family val="2"/>
          </rPr>
          <t>Vehicle is half full of goods</t>
        </r>
      </text>
    </comment>
    <comment ref="CP18" authorId="0" shapeId="0" xr:uid="{8D4E8642-DC90-46B3-939F-FD3D0ACE2CB4}">
      <text>
        <r>
          <rPr>
            <b/>
            <sz val="8"/>
            <rFont val="Tahoma"/>
            <family val="2"/>
          </rPr>
          <t>Vehicle has been loaded to maximum capacity</t>
        </r>
      </text>
    </comment>
    <comment ref="CT18" authorId="0" shapeId="0" xr:uid="{8D40A9F9-8FA8-4044-A797-C6A926FD1C7F}">
      <text>
        <r>
          <rPr>
            <b/>
            <sz val="8"/>
            <rFont val="Tahoma"/>
            <family val="2"/>
          </rPr>
          <t>The average percentage laden for a freighting vehicle in the UK</t>
        </r>
      </text>
    </comment>
    <comment ref="K19" authorId="0" shapeId="0" xr:uid="{AE792550-9DA8-4EA0-AB08-16AB32F0AF50}">
      <text>
        <r>
          <rPr>
            <b/>
            <sz val="8"/>
            <rFont val="Tahoma"/>
            <family val="2"/>
          </rPr>
          <t>Liquid petroleum gas - used to power cooking stoves or heaters off-grid and fuel some vehicles (such as fork-lift trucks and vans).</t>
        </r>
      </text>
    </comment>
    <comment ref="S19" authorId="0" shapeId="0" xr:uid="{5AC7568C-0C64-4899-A246-170AB30B5BFD}">
      <text>
        <r>
          <rPr>
            <b/>
            <sz val="8"/>
            <rFont val="Tahoma"/>
            <family val="2"/>
          </rPr>
          <t>Renewable fuel almost exclusively derived from common natural oils (such as vegetable oils).</t>
        </r>
      </text>
    </comment>
    <comment ref="BA19" authorId="1" shapeId="0" xr:uid="{BDD7CFC0-B7EA-4097-B344-F23A699F953E}">
      <text>
        <r>
          <rPr>
            <b/>
            <sz val="8"/>
            <color indexed="81"/>
            <rFont val="Tahoma"/>
            <family val="2"/>
          </rPr>
          <t>The distance travelled by individual passengers per transport mode.</t>
        </r>
      </text>
    </comment>
    <comment ref="BZ19" authorId="2" shapeId="0" xr:uid="{59AC588E-826A-40CF-BF08-72880031907F}">
      <text>
        <r>
          <rPr>
            <b/>
            <sz val="9"/>
            <color indexed="81"/>
            <rFont val="Tahoma"/>
            <family val="2"/>
          </rPr>
          <t>jerome baddley:</t>
        </r>
        <r>
          <rPr>
            <sz val="9"/>
            <color indexed="81"/>
            <rFont val="Tahoma"/>
            <family val="2"/>
          </rPr>
          <t xml:space="preserve">
no petrol trucks of this type exist, this factor is for diesel</t>
        </r>
      </text>
    </comment>
    <comment ref="CH19" authorId="0" shapeId="0" xr:uid="{68950324-E488-49FC-9D1F-B47EE0597713}">
      <text>
        <r>
          <rPr>
            <b/>
            <sz val="8"/>
            <rFont val="Tahoma"/>
            <family val="2"/>
          </rPr>
          <t>kg CO₂e per unit</t>
        </r>
      </text>
    </comment>
    <comment ref="CI19" authorId="0" shapeId="0" xr:uid="{1D2E3E31-C4D2-4622-8220-937DFA8D8F85}">
      <text>
        <r>
          <rPr>
            <b/>
            <sz val="8"/>
            <rFont val="Tahoma"/>
            <family val="2"/>
          </rPr>
          <t>kg CO₂e of CO₂ per unit</t>
        </r>
      </text>
    </comment>
    <comment ref="CJ19" authorId="0" shapeId="0" xr:uid="{8991A9A1-B8F5-414D-B8AB-922EEDF6DB7F}">
      <text>
        <r>
          <rPr>
            <b/>
            <sz val="8"/>
            <rFont val="Tahoma"/>
            <family val="2"/>
          </rPr>
          <t>kg CO₂e of CH₄ per unit</t>
        </r>
      </text>
    </comment>
    <comment ref="CK19" authorId="0" shapeId="0" xr:uid="{F4EA9207-2CC5-4689-AEB7-51575BD25826}">
      <text>
        <r>
          <rPr>
            <b/>
            <sz val="8"/>
            <rFont val="Tahoma"/>
            <family val="2"/>
          </rPr>
          <t>kg CO₂e of N₂O per unit</t>
        </r>
      </text>
    </comment>
    <comment ref="CL19" authorId="0" shapeId="0" xr:uid="{BAF19F9D-D26A-4E74-9359-FEE856AACBC2}">
      <text>
        <r>
          <rPr>
            <b/>
            <sz val="8"/>
            <rFont val="Tahoma"/>
            <family val="2"/>
          </rPr>
          <t>kg CO₂e per unit</t>
        </r>
      </text>
    </comment>
    <comment ref="CM19" authorId="0" shapeId="0" xr:uid="{3B2CBABD-B932-4640-BCB8-06A173DFD98A}">
      <text>
        <r>
          <rPr>
            <b/>
            <sz val="8"/>
            <rFont val="Tahoma"/>
            <family val="2"/>
          </rPr>
          <t>kg CO₂e of CO₂ per unit</t>
        </r>
      </text>
    </comment>
    <comment ref="CN19" authorId="0" shapeId="0" xr:uid="{508215FC-5E63-4F0F-A284-9A95796608C6}">
      <text>
        <r>
          <rPr>
            <b/>
            <sz val="8"/>
            <rFont val="Tahoma"/>
            <family val="2"/>
          </rPr>
          <t>kg CO₂e of CH₄ per unit</t>
        </r>
      </text>
    </comment>
    <comment ref="CO19" authorId="0" shapeId="0" xr:uid="{6E8590FD-6EE5-47D1-A5C2-B5A9BF60351F}">
      <text>
        <r>
          <rPr>
            <b/>
            <sz val="8"/>
            <rFont val="Tahoma"/>
            <family val="2"/>
          </rPr>
          <t>kg CO₂e of N₂O per unit</t>
        </r>
      </text>
    </comment>
    <comment ref="CP19" authorId="0" shapeId="0" xr:uid="{887ED688-B1C2-45EB-B78F-BFF62D99C386}">
      <text>
        <r>
          <rPr>
            <b/>
            <sz val="8"/>
            <rFont val="Tahoma"/>
            <family val="2"/>
          </rPr>
          <t>kg CO₂e per unit</t>
        </r>
      </text>
    </comment>
    <comment ref="CQ19" authorId="0" shapeId="0" xr:uid="{8A9E1A35-533F-4C9F-8DE1-E42984CE923E}">
      <text>
        <r>
          <rPr>
            <b/>
            <sz val="8"/>
            <rFont val="Tahoma"/>
            <family val="2"/>
          </rPr>
          <t>kg CO₂e of CO₂ per unit</t>
        </r>
      </text>
    </comment>
    <comment ref="CR19" authorId="0" shapeId="0" xr:uid="{E3C3F072-485B-451E-96F2-6BE9C2F899FD}">
      <text>
        <r>
          <rPr>
            <b/>
            <sz val="8"/>
            <rFont val="Tahoma"/>
            <family val="2"/>
          </rPr>
          <t>kg CO₂e of CH₄ per unit</t>
        </r>
      </text>
    </comment>
    <comment ref="CS19" authorId="0" shapeId="0" xr:uid="{17FFBDD5-BE4C-431B-AAE4-1DBE2DFEA7A4}">
      <text>
        <r>
          <rPr>
            <b/>
            <sz val="8"/>
            <rFont val="Tahoma"/>
            <family val="2"/>
          </rPr>
          <t>kg CO₂e of N₂O per unit</t>
        </r>
      </text>
    </comment>
    <comment ref="CT19" authorId="0" shapeId="0" xr:uid="{FDC6A900-30FB-47F1-9599-AC9A43C5EB11}">
      <text>
        <r>
          <rPr>
            <b/>
            <sz val="8"/>
            <rFont val="Tahoma"/>
            <family val="2"/>
          </rPr>
          <t>kg CO₂e per unit</t>
        </r>
      </text>
    </comment>
    <comment ref="CU19" authorId="0" shapeId="0" xr:uid="{32DDA656-76B3-4B41-BAE4-EB5E92F9839F}">
      <text>
        <r>
          <rPr>
            <b/>
            <sz val="8"/>
            <rFont val="Tahoma"/>
            <family val="2"/>
          </rPr>
          <t>kg CO₂e of CO₂ per unit</t>
        </r>
      </text>
    </comment>
    <comment ref="CV19" authorId="0" shapeId="0" xr:uid="{F066BE8B-5D30-44D5-ADB5-893474C18E90}">
      <text>
        <r>
          <rPr>
            <b/>
            <sz val="8"/>
            <rFont val="Tahoma"/>
            <family val="2"/>
          </rPr>
          <t>kg CO₂e of CH₄ per unit</t>
        </r>
      </text>
    </comment>
    <comment ref="CW19" authorId="0" shapeId="0" xr:uid="{71D77AB5-03A3-4AF3-B3E7-FD0B59017F84}">
      <text>
        <r>
          <rPr>
            <b/>
            <sz val="8"/>
            <rFont val="Tahoma"/>
            <family val="2"/>
          </rPr>
          <t>kg CO₂e of N₂O per unit</t>
        </r>
      </text>
    </comment>
    <comment ref="DB19" authorId="0" shapeId="0" xr:uid="{6DAE84FC-4471-484B-9225-33C7239E15BB}">
      <text>
        <r>
          <rPr>
            <b/>
            <sz val="8"/>
            <rFont val="Tahoma"/>
            <family val="2"/>
          </rPr>
          <t>kg CO₂e per unit</t>
        </r>
      </text>
    </comment>
    <comment ref="DC19" authorId="0" shapeId="0" xr:uid="{B5EEF364-DA1F-400B-9F17-60105D1E321B}">
      <text>
        <r>
          <rPr>
            <b/>
            <sz val="8"/>
            <rFont val="Tahoma"/>
            <family val="2"/>
          </rPr>
          <t>kg CO₂e of CO₂ per unit</t>
        </r>
      </text>
    </comment>
    <comment ref="DD19" authorId="0" shapeId="0" xr:uid="{A2633D24-2CD6-477E-A84E-9037BCCBB03B}">
      <text>
        <r>
          <rPr>
            <b/>
            <sz val="8"/>
            <rFont val="Tahoma"/>
            <family val="2"/>
          </rPr>
          <t>kg CO₂e of CH₄ per unit</t>
        </r>
      </text>
    </comment>
    <comment ref="DE19" authorId="0" shapeId="0" xr:uid="{1E354F6F-6AB7-4945-B211-E3F973F001CB}">
      <text>
        <r>
          <rPr>
            <b/>
            <sz val="8"/>
            <rFont val="Tahoma"/>
            <family val="2"/>
          </rPr>
          <t>kg CO₂e of N₂O per unit</t>
        </r>
      </text>
    </comment>
    <comment ref="BA20" authorId="1" shapeId="0" xr:uid="{06558F15-38B9-45F7-ACD1-04BDBE1A8AFD}">
      <text>
        <r>
          <rPr>
            <b/>
            <sz val="8"/>
            <color indexed="81"/>
            <rFont val="Tahoma"/>
            <family val="2"/>
          </rPr>
          <t>The distance travelled by individual passengers per transport mode.</t>
        </r>
      </text>
    </comment>
    <comment ref="CE20" authorId="0" shapeId="0" xr:uid="{E29567A3-24AC-4321-A3F6-58224DECCB5F}">
      <text>
        <r>
          <rPr>
            <b/>
            <sz val="8"/>
            <rFont val="Tahoma"/>
            <family val="2"/>
          </rPr>
          <t>Large goods vehicles with maximum weight exceeding 3.5 tonnes.</t>
        </r>
      </text>
    </comment>
    <comment ref="CZ20" authorId="0" shapeId="0" xr:uid="{6DAD3394-FED0-4159-AF73-A95175ABF599}">
      <text>
        <r>
          <rPr>
            <b/>
            <sz val="8"/>
            <rFont val="Tahoma"/>
            <family val="2"/>
          </rPr>
          <t>Mopeds/scooters up to 125cc.</t>
        </r>
      </text>
    </comment>
    <comment ref="BA21" authorId="1" shapeId="0" xr:uid="{24BCBB90-21FE-4E93-8901-C58922DB3449}">
      <text>
        <r>
          <rPr>
            <b/>
            <sz val="8"/>
            <color indexed="81"/>
            <rFont val="Tahoma"/>
            <family val="2"/>
          </rPr>
          <t>The distance travelled by individual passengers per transport mode.</t>
        </r>
      </text>
    </comment>
    <comment ref="BZ21" authorId="2" shapeId="0" xr:uid="{96290EFE-FE56-4A5F-A1A9-6C6F053FA6AC}">
      <text>
        <r>
          <rPr>
            <b/>
            <sz val="9"/>
            <color indexed="81"/>
            <rFont val="Tahoma"/>
            <family val="2"/>
          </rPr>
          <t>jerome baddley:</t>
        </r>
        <r>
          <rPr>
            <sz val="9"/>
            <color indexed="81"/>
            <rFont val="Tahoma"/>
            <family val="2"/>
          </rPr>
          <t xml:space="preserve">
no petrol trucks of this type exist, this factor is for diesel</t>
        </r>
      </text>
    </comment>
    <comment ref="CZ22" authorId="0" shapeId="0" xr:uid="{138D854C-59C3-4E89-9A59-E1F2A93859A4}">
      <text>
        <r>
          <rPr>
            <b/>
            <sz val="8"/>
            <rFont val="Tahoma"/>
            <family val="2"/>
          </rPr>
          <t>125cc to 500cc</t>
        </r>
      </text>
    </comment>
    <comment ref="EB22" authorId="0" shapeId="0" xr:uid="{33260338-FB70-444D-B814-A90A385DF95D}">
      <text>
        <r>
          <rPr>
            <b/>
            <sz val="8"/>
            <rFont val="Tahoma"/>
            <family val="2"/>
          </rPr>
          <t>The materials are made from virgin stock.</t>
        </r>
      </text>
    </comment>
    <comment ref="EC22" authorId="0" shapeId="0" xr:uid="{86A1DC60-AF74-4D8C-B185-401341761891}">
      <text>
        <r>
          <rPr>
            <b/>
            <sz val="8"/>
            <rFont val="Tahoma"/>
            <family val="2"/>
          </rPr>
          <t>The materials are re-used instead of disposed of by recycling or landfill.</t>
        </r>
      </text>
    </comment>
    <comment ref="ED22" authorId="0" shapeId="0" xr:uid="{4A4C697F-5E3B-4EC8-9844-55B1B15FA0FC}">
      <text>
        <r>
          <rPr>
            <b/>
            <sz val="8"/>
            <rFont val="Tahoma"/>
            <family val="2"/>
          </rPr>
          <t>The materials are made from recycled content where the previous product was different to the current product.</t>
        </r>
      </text>
    </comment>
    <comment ref="EE22" authorId="0" shapeId="0" xr:uid="{75B54357-A972-4371-8097-22DB09934386}">
      <text>
        <r>
          <rPr>
            <b/>
            <sz val="8"/>
            <rFont val="Tahoma"/>
            <family val="2"/>
          </rPr>
          <t>The materials  are made from recycled content where the previous product was the same as the new product.</t>
        </r>
      </text>
    </comment>
    <comment ref="ES22" authorId="0" shapeId="0" xr:uid="{EDECC4DF-3FEB-4B27-A141-D17E1BEF26D9}">
      <text>
        <r>
          <rPr>
            <b/>
            <sz val="8"/>
            <rFont val="Tahoma"/>
            <family val="2"/>
          </rPr>
          <t>Vehicle is not transporting any goods.</t>
        </r>
      </text>
    </comment>
    <comment ref="EW22" authorId="0" shapeId="0" xr:uid="{036B1727-F94D-4A4A-A63E-3AD8ABDA86FE}">
      <text>
        <r>
          <rPr>
            <b/>
            <sz val="8"/>
            <rFont val="Tahoma"/>
            <family val="2"/>
          </rPr>
          <t>Vehicle is half full of goods.</t>
        </r>
      </text>
    </comment>
    <comment ref="FA22" authorId="0" shapeId="0" xr:uid="{EF4E8AE9-D36E-418D-A7AA-3B84A2D4C513}">
      <text>
        <r>
          <rPr>
            <b/>
            <sz val="8"/>
            <rFont val="Tahoma"/>
            <family val="2"/>
          </rPr>
          <t>Vehicle has been loaded to maximum capacity.</t>
        </r>
      </text>
    </comment>
    <comment ref="FE22" authorId="0" shapeId="0" xr:uid="{541EBD7C-5C37-4E2C-93AE-3D89AC35BAB3}">
      <text>
        <r>
          <rPr>
            <b/>
            <sz val="8"/>
            <rFont val="Tahoma"/>
            <family val="2"/>
          </rPr>
          <t>The average percentage laden for a freighting vehicle in the UK.</t>
        </r>
      </text>
    </comment>
    <comment ref="K23" authorId="0" shapeId="0" xr:uid="{85000543-E586-4043-8C6A-A3B4FD32B7C4}">
      <text>
        <r>
          <rPr>
            <b/>
            <sz val="8"/>
            <rFont val="Tahoma"/>
            <family val="2"/>
          </rPr>
          <t>Standard natural gas received through the gas mains grid network in the UK. Note - contains limited biogas content.</t>
        </r>
      </text>
    </comment>
    <comment ref="U23" authorId="0" shapeId="0" xr:uid="{195D2177-1609-4ED5-83AA-60617EC9F4A7}">
      <text>
        <r>
          <rPr>
            <b/>
            <sz val="8"/>
            <rFont val="Tahoma"/>
            <family val="2"/>
          </rPr>
          <t>kg CO₂e per unit</t>
        </r>
      </text>
    </comment>
    <comment ref="BR23" authorId="0" shapeId="0" xr:uid="{246EC6E6-7418-4DB6-8F03-3EF7D142F268}">
      <text>
        <r>
          <rPr>
            <b/>
            <sz val="8"/>
            <rFont val="Tahoma"/>
            <family val="2"/>
          </rPr>
          <t>kg CO₂e per unit</t>
        </r>
      </text>
    </comment>
    <comment ref="BS23" authorId="0" shapeId="0" xr:uid="{7392CF3F-786F-46BC-9902-401C460CFA5A}">
      <text>
        <r>
          <rPr>
            <b/>
            <sz val="8"/>
            <rFont val="Tahoma"/>
            <family val="2"/>
          </rPr>
          <t>kg CO₂e of CO₂ per unit</t>
        </r>
      </text>
    </comment>
    <comment ref="BT23" authorId="0" shapeId="0" xr:uid="{7FDB1C9C-A981-4603-9CC1-B129FD86E5DC}">
      <text>
        <r>
          <rPr>
            <b/>
            <sz val="8"/>
            <rFont val="Tahoma"/>
            <family val="2"/>
          </rPr>
          <t>kg CO₂e of CH₄ per unit</t>
        </r>
      </text>
    </comment>
    <comment ref="BU23" authorId="0" shapeId="0" xr:uid="{551542E4-EBE0-44C6-8AC7-5AF6D6AC3F46}">
      <text>
        <r>
          <rPr>
            <b/>
            <sz val="8"/>
            <rFont val="Tahoma"/>
            <family val="2"/>
          </rPr>
          <t>kg CO₂e of N₂O per unit</t>
        </r>
      </text>
    </comment>
    <comment ref="BZ23" authorId="2" shapeId="0" xr:uid="{A53AF1DC-DE04-45D1-B248-492B9E749423}">
      <text>
        <r>
          <rPr>
            <b/>
            <sz val="9"/>
            <color indexed="81"/>
            <rFont val="Tahoma"/>
            <family val="2"/>
          </rPr>
          <t>jerome baddley:</t>
        </r>
        <r>
          <rPr>
            <sz val="9"/>
            <color indexed="81"/>
            <rFont val="Tahoma"/>
            <family val="2"/>
          </rPr>
          <t xml:space="preserve">
no petrol trucks of this type exist, this factor is for diesel</t>
        </r>
      </text>
    </comment>
    <comment ref="EB23" authorId="0" shapeId="0" xr:uid="{83C16BB6-4B59-4E97-B0C4-715EBBDE4EAC}">
      <text>
        <r>
          <rPr>
            <b/>
            <sz val="8"/>
            <rFont val="Tahoma"/>
            <family val="2"/>
          </rPr>
          <t>kg CO₂e per unit</t>
        </r>
      </text>
    </comment>
    <comment ref="EC23" authorId="0" shapeId="0" xr:uid="{418CCB83-9DC8-4485-9139-074AEF9013E0}">
      <text>
        <r>
          <rPr>
            <b/>
            <sz val="8"/>
            <rFont val="Tahoma"/>
            <family val="2"/>
          </rPr>
          <t>kg CO₂e per unit</t>
        </r>
      </text>
    </comment>
    <comment ref="ED23" authorId="0" shapeId="0" xr:uid="{AA3B21AA-AB1C-4D34-817C-21721A7A2380}">
      <text>
        <r>
          <rPr>
            <b/>
            <sz val="8"/>
            <rFont val="Tahoma"/>
            <family val="2"/>
          </rPr>
          <t>kg CO₂e per unit</t>
        </r>
      </text>
    </comment>
    <comment ref="EE23" authorId="0" shapeId="0" xr:uid="{B9F13DDF-3FB3-4105-B963-DFD66D65C65A}">
      <text>
        <r>
          <rPr>
            <b/>
            <sz val="8"/>
            <rFont val="Tahoma"/>
            <family val="2"/>
          </rPr>
          <t>kg CO₂e per unit</t>
        </r>
      </text>
    </comment>
    <comment ref="ES23" authorId="0" shapeId="0" xr:uid="{5CF50C27-92CB-478D-AFC4-4B930B840AB7}">
      <text>
        <r>
          <rPr>
            <b/>
            <sz val="8"/>
            <rFont val="Tahoma"/>
            <family val="2"/>
          </rPr>
          <t>kg CO₂e per unit</t>
        </r>
      </text>
    </comment>
    <comment ref="ET23" authorId="0" shapeId="0" xr:uid="{2E40AA83-ED50-4416-82A7-5D20BE16A607}">
      <text>
        <r>
          <rPr>
            <b/>
            <sz val="8"/>
            <rFont val="Tahoma"/>
            <family val="2"/>
          </rPr>
          <t>kg CO₂e of CO₂ per unit</t>
        </r>
      </text>
    </comment>
    <comment ref="EU23" authorId="0" shapeId="0" xr:uid="{80ED49C0-EF7A-4011-8523-7D1190E8AE2F}">
      <text>
        <r>
          <rPr>
            <b/>
            <sz val="8"/>
            <rFont val="Tahoma"/>
            <family val="2"/>
          </rPr>
          <t>kg CO₂e of CH₄ per unit</t>
        </r>
      </text>
    </comment>
    <comment ref="EV23" authorId="0" shapeId="0" xr:uid="{1FB5DC67-8295-4746-A43D-FD15F3BB9BD9}">
      <text>
        <r>
          <rPr>
            <b/>
            <sz val="8"/>
            <rFont val="Tahoma"/>
            <family val="2"/>
          </rPr>
          <t>kg CO₂e of N₂O per unit</t>
        </r>
      </text>
    </comment>
    <comment ref="EW23" authorId="0" shapeId="0" xr:uid="{732721F8-07B9-47BE-9C58-B07B2090D527}">
      <text>
        <r>
          <rPr>
            <b/>
            <sz val="8"/>
            <rFont val="Tahoma"/>
            <family val="2"/>
          </rPr>
          <t>kg CO₂e per unit</t>
        </r>
      </text>
    </comment>
    <comment ref="EX23" authorId="0" shapeId="0" xr:uid="{BB7244C3-1F4E-4E46-92DF-AFEEEE68EE6C}">
      <text>
        <r>
          <rPr>
            <b/>
            <sz val="8"/>
            <rFont val="Tahoma"/>
            <family val="2"/>
          </rPr>
          <t>kg CO₂e of CO₂ per unit</t>
        </r>
      </text>
    </comment>
    <comment ref="EY23" authorId="0" shapeId="0" xr:uid="{9D0CAAEA-335F-4A79-8A66-C8B5BFA288C5}">
      <text>
        <r>
          <rPr>
            <b/>
            <sz val="8"/>
            <rFont val="Tahoma"/>
            <family val="2"/>
          </rPr>
          <t>kg CO₂e of CH₄ per unit</t>
        </r>
      </text>
    </comment>
    <comment ref="EZ23" authorId="0" shapeId="0" xr:uid="{FBFDE309-71AC-4716-8B5A-E80BDF9406ED}">
      <text>
        <r>
          <rPr>
            <b/>
            <sz val="8"/>
            <rFont val="Tahoma"/>
            <family val="2"/>
          </rPr>
          <t>kg CO₂e of N₂O per unit</t>
        </r>
      </text>
    </comment>
    <comment ref="FA23" authorId="0" shapeId="0" xr:uid="{6ED683A1-287F-45E8-BAD4-A8D72C48CAAC}">
      <text>
        <r>
          <rPr>
            <b/>
            <sz val="8"/>
            <rFont val="Tahoma"/>
            <family val="2"/>
          </rPr>
          <t>kg CO₂e per unit</t>
        </r>
      </text>
    </comment>
    <comment ref="FB23" authorId="0" shapeId="0" xr:uid="{BBEF17BC-C7A6-430E-A8F4-64FDDD4AF404}">
      <text>
        <r>
          <rPr>
            <b/>
            <sz val="8"/>
            <rFont val="Tahoma"/>
            <family val="2"/>
          </rPr>
          <t>kg CO₂e of CO₂ per unit</t>
        </r>
      </text>
    </comment>
    <comment ref="FC23" authorId="0" shapeId="0" xr:uid="{1A47905C-830B-4C86-8D90-EB33A1578D97}">
      <text>
        <r>
          <rPr>
            <b/>
            <sz val="8"/>
            <rFont val="Tahoma"/>
            <family val="2"/>
          </rPr>
          <t>kg CO₂e of CH₄ per unit</t>
        </r>
      </text>
    </comment>
    <comment ref="FD23" authorId="0" shapeId="0" xr:uid="{67B6F800-CE59-4222-8CB1-459C3FEFBDC1}">
      <text>
        <r>
          <rPr>
            <b/>
            <sz val="8"/>
            <rFont val="Tahoma"/>
            <family val="2"/>
          </rPr>
          <t>kg CO₂e of N₂O per unit</t>
        </r>
      </text>
    </comment>
    <comment ref="FE23" authorId="0" shapeId="0" xr:uid="{34C50B8E-E634-44F2-ADD2-34328D1625C4}">
      <text>
        <r>
          <rPr>
            <b/>
            <sz val="8"/>
            <rFont val="Tahoma"/>
            <family val="2"/>
          </rPr>
          <t>kg CO₂e per unit</t>
        </r>
      </text>
    </comment>
    <comment ref="FF23" authorId="0" shapeId="0" xr:uid="{282AB36C-657F-460E-91B3-C5012DD09E44}">
      <text>
        <r>
          <rPr>
            <b/>
            <sz val="8"/>
            <rFont val="Tahoma"/>
            <family val="2"/>
          </rPr>
          <t>kg CO₂e of CO₂ per unit</t>
        </r>
      </text>
    </comment>
    <comment ref="FG23" authorId="0" shapeId="0" xr:uid="{94729595-01E0-4E8D-B0BD-271E6731C6AD}">
      <text>
        <r>
          <rPr>
            <b/>
            <sz val="8"/>
            <rFont val="Tahoma"/>
            <family val="2"/>
          </rPr>
          <t>kg CO₂e of CH₄ per unit</t>
        </r>
      </text>
    </comment>
    <comment ref="FH23" authorId="0" shapeId="0" xr:uid="{F1C29A67-FF5E-4ED0-86B0-8F9B1E0F0EAE}">
      <text>
        <r>
          <rPr>
            <b/>
            <sz val="8"/>
            <rFont val="Tahoma"/>
            <family val="2"/>
          </rPr>
          <t>kg CO₂e of N₂O per unit</t>
        </r>
      </text>
    </comment>
    <comment ref="BQ24" authorId="0" shapeId="0" xr:uid="{31536C6D-5B0F-4A69-9ABE-225550639982}">
      <text>
        <r>
          <rPr>
            <b/>
            <sz val="8"/>
            <rFont val="Tahoma"/>
            <family val="2"/>
          </rPr>
          <t>The distance travelled by individual passengers a transport mode</t>
        </r>
      </text>
    </comment>
    <comment ref="CZ24" authorId="0" shapeId="0" xr:uid="{46609C73-5B4D-48B0-9205-6979999158FF}">
      <text>
        <r>
          <rPr>
            <b/>
            <sz val="8"/>
            <rFont val="Tahoma"/>
            <family val="2"/>
          </rPr>
          <t>500cc +</t>
        </r>
      </text>
    </comment>
    <comment ref="EP24" authorId="0" shapeId="0" xr:uid="{293715D6-A8EB-4612-9766-521F54529D38}">
      <text>
        <r>
          <rPr>
            <b/>
            <sz val="8"/>
            <rFont val="Tahoma"/>
            <family val="2"/>
          </rPr>
          <t>Road vehicle with maximum weight exceeding 3.5 tonnes.</t>
        </r>
      </text>
    </comment>
    <comment ref="ER24" authorId="0" shapeId="0" xr:uid="{F004F8F6-229E-45A1-851A-36D498A62F61}">
      <text>
        <r>
          <rPr>
            <b/>
            <sz val="8"/>
            <rFont val="Tahoma"/>
            <family val="2"/>
          </rPr>
          <t>An equivalent measure of one tonne of transported goods over one km.</t>
        </r>
      </text>
    </comment>
    <comment ref="BZ25" authorId="2" shapeId="0" xr:uid="{02440463-1AC7-4927-AF8C-8B4A1D0640E0}">
      <text>
        <r>
          <rPr>
            <b/>
            <sz val="9"/>
            <color indexed="81"/>
            <rFont val="Tahoma"/>
            <family val="2"/>
          </rPr>
          <t>jerome baddley:</t>
        </r>
        <r>
          <rPr>
            <sz val="9"/>
            <color indexed="81"/>
            <rFont val="Tahoma"/>
            <family val="2"/>
          </rPr>
          <t xml:space="preserve">
no petrol trucks of this type exist, this factor is for diesel</t>
        </r>
      </text>
    </comment>
    <comment ref="BQ26" authorId="0" shapeId="0" xr:uid="{66439695-8F95-4722-A292-97D38DCF9A3C}">
      <text>
        <r>
          <rPr>
            <b/>
            <sz val="8"/>
            <rFont val="Tahoma"/>
            <family val="2"/>
          </rPr>
          <t>The distance travelled by individual passengers a transport mode</t>
        </r>
      </text>
    </comment>
    <comment ref="CZ26" authorId="0" shapeId="0" xr:uid="{E0EEED78-5930-44A7-A6F2-B91166B506FA}">
      <text>
        <r>
          <rPr>
            <b/>
            <sz val="8"/>
            <rFont val="Tahoma"/>
            <family val="2"/>
          </rPr>
          <t>Unknown engine size</t>
        </r>
      </text>
    </comment>
    <comment ref="K27" authorId="3" shapeId="0" xr:uid="{2E47D91F-6175-4ADB-AAEF-D1A26040FD19}">
      <text>
        <r>
          <rPr>
            <b/>
            <sz val="9"/>
            <color indexed="81"/>
            <rFont val="Tahoma"/>
            <family val="2"/>
          </rPr>
          <t>Natural gas (100% mineral blend) factor is natural gas not obtained through the grid and therefore does not contain any biogas content. It can be used for calculating bespoke fuel mixtures.</t>
        </r>
      </text>
    </comment>
    <comment ref="BZ27" authorId="2" shapeId="0" xr:uid="{576B81F1-6C6D-456E-BFCB-EFF030480531}">
      <text>
        <r>
          <rPr>
            <b/>
            <sz val="9"/>
            <color indexed="81"/>
            <rFont val="Tahoma"/>
            <family val="2"/>
          </rPr>
          <t>jerome baddley:</t>
        </r>
        <r>
          <rPr>
            <sz val="9"/>
            <color indexed="81"/>
            <rFont val="Tahoma"/>
            <family val="2"/>
          </rPr>
          <t xml:space="preserve">
no petrol trucks of this type exist, this factor is for diesel</t>
        </r>
      </text>
    </comment>
    <comment ref="ER27" authorId="0" shapeId="0" xr:uid="{724B4DFF-1999-4172-A606-DF61AF36221C}">
      <text>
        <r>
          <rPr>
            <b/>
            <sz val="8"/>
            <rFont val="Tahoma"/>
            <family val="2"/>
          </rPr>
          <t>An equivalent measure of one tonne of transported goods over one km.</t>
        </r>
      </text>
    </comment>
    <comment ref="S28" authorId="0" shapeId="0" xr:uid="{33B97A15-DEBE-444E-9B31-BB1F7E26BEB3}">
      <text>
        <r>
          <rPr>
            <b/>
            <sz val="8"/>
            <rFont val="Tahoma"/>
            <family val="2"/>
          </rPr>
          <t>Compressed low quality wood (such as sawdust and shavings) made into pellet form.</t>
        </r>
      </text>
    </comment>
    <comment ref="BR29" authorId="0" shapeId="0" xr:uid="{E403755A-4555-43CE-83AE-A47D4659D6D9}">
      <text>
        <r>
          <rPr>
            <b/>
            <sz val="8"/>
            <rFont val="Tahoma"/>
            <family val="2"/>
          </rPr>
          <t>kg CO₂e per unit</t>
        </r>
      </text>
    </comment>
    <comment ref="BS29" authorId="0" shapeId="0" xr:uid="{77940361-7332-448B-B630-E0A81ACA336E}">
      <text>
        <r>
          <rPr>
            <b/>
            <sz val="8"/>
            <rFont val="Tahoma"/>
            <family val="2"/>
          </rPr>
          <t>kg CO₂e of CO₂ per unit</t>
        </r>
      </text>
    </comment>
    <comment ref="BT29" authorId="0" shapeId="0" xr:uid="{8FB2498F-DA94-45DE-8F04-667FCA9748F2}">
      <text>
        <r>
          <rPr>
            <b/>
            <sz val="8"/>
            <rFont val="Tahoma"/>
            <family val="2"/>
          </rPr>
          <t>kg CO₂e of CH₄ per unit</t>
        </r>
      </text>
    </comment>
    <comment ref="BU29" authorId="0" shapeId="0" xr:uid="{C757677A-2E5B-4EE8-AC00-BB4C0605875B}">
      <text>
        <r>
          <rPr>
            <b/>
            <sz val="8"/>
            <rFont val="Tahoma"/>
            <family val="2"/>
          </rPr>
          <t>kg CO₂e of N₂O per unit</t>
        </r>
      </text>
    </comment>
    <comment ref="BZ29" authorId="2" shapeId="0" xr:uid="{49D0E34A-51B7-4886-A744-01A0293A733A}">
      <text>
        <r>
          <rPr>
            <b/>
            <sz val="9"/>
            <color indexed="81"/>
            <rFont val="Tahoma"/>
            <family val="2"/>
          </rPr>
          <t>jerome baddley:</t>
        </r>
        <r>
          <rPr>
            <sz val="9"/>
            <color indexed="81"/>
            <rFont val="Tahoma"/>
            <family val="2"/>
          </rPr>
          <t xml:space="preserve">
no petrol trucks of this type exist, this factor is for diesel</t>
        </r>
      </text>
    </comment>
    <comment ref="EB29" authorId="0" shapeId="0" xr:uid="{71A08A53-5AFF-49B6-AD02-57EBD13649BD}">
      <text>
        <r>
          <rPr>
            <b/>
            <sz val="8"/>
            <rFont val="Tahoma"/>
            <family val="2"/>
          </rPr>
          <t>The materials are made from virgin stock.</t>
        </r>
      </text>
    </comment>
    <comment ref="EC29" authorId="0" shapeId="0" xr:uid="{1374E7EE-77DF-4FB6-9DA2-437BA6D7CE24}">
      <text>
        <r>
          <rPr>
            <b/>
            <sz val="8"/>
            <rFont val="Tahoma"/>
            <family val="2"/>
          </rPr>
          <t>The materials are re-used instead of disposed of by recycling or landfill.</t>
        </r>
      </text>
    </comment>
    <comment ref="ED29" authorId="0" shapeId="0" xr:uid="{7073E73D-3CF5-43E7-A4B8-08CE0FD8802C}">
      <text>
        <r>
          <rPr>
            <b/>
            <sz val="8"/>
            <rFont val="Tahoma"/>
            <family val="2"/>
          </rPr>
          <t>The materials are made from recycled content where the previous product was different to the current product.</t>
        </r>
      </text>
    </comment>
    <comment ref="EE29" authorId="0" shapeId="0" xr:uid="{713CD16F-8F0B-4FC0-869C-4925AC39ADA7}">
      <text>
        <r>
          <rPr>
            <b/>
            <sz val="8"/>
            <rFont val="Tahoma"/>
            <family val="2"/>
          </rPr>
          <t>The materials  are made from recycled content where the previous product was the same as the new product.</t>
        </r>
      </text>
    </comment>
    <comment ref="EG29" authorId="2" shapeId="0" xr:uid="{ECA05F79-E551-4924-AD2C-4CBD78F46F79}">
      <text>
        <r>
          <rPr>
            <b/>
            <sz val="9"/>
            <color indexed="81"/>
            <rFont val="Tahoma"/>
            <family val="2"/>
          </rPr>
          <t>jerome baddley:</t>
        </r>
        <r>
          <rPr>
            <sz val="9"/>
            <color indexed="81"/>
            <rFont val="Tahoma"/>
            <family val="2"/>
          </rPr>
          <t xml:space="preserve">
Mapped to Articulated truck to accommodate upto 20t loads</t>
        </r>
      </text>
    </comment>
    <comment ref="BQ30" authorId="0" shapeId="0" xr:uid="{D83488A2-384A-461D-8021-FE111DBDFB6C}">
      <text>
        <r>
          <rPr>
            <b/>
            <sz val="8"/>
            <rFont val="Tahoma"/>
            <family val="2"/>
          </rPr>
          <t>The distance travelled by individual passengers a transport mode</t>
        </r>
      </text>
    </comment>
    <comment ref="EB30" authorId="0" shapeId="0" xr:uid="{8729D647-08C4-496E-86DC-2EE7193476AD}">
      <text>
        <r>
          <rPr>
            <b/>
            <sz val="8"/>
            <rFont val="Tahoma"/>
            <family val="2"/>
          </rPr>
          <t>kg CO₂e per unit</t>
        </r>
      </text>
    </comment>
    <comment ref="EC30" authorId="0" shapeId="0" xr:uid="{45969481-4443-431E-B60B-2022E8CB2C62}">
      <text>
        <r>
          <rPr>
            <b/>
            <sz val="8"/>
            <rFont val="Tahoma"/>
            <family val="2"/>
          </rPr>
          <t>kg CO₂e per unit</t>
        </r>
      </text>
    </comment>
    <comment ref="ED30" authorId="0" shapeId="0" xr:uid="{6131F311-A060-4738-98B5-DBF1FB370B9F}">
      <text>
        <r>
          <rPr>
            <b/>
            <sz val="8"/>
            <rFont val="Tahoma"/>
            <family val="2"/>
          </rPr>
          <t>kg CO₂e per unit</t>
        </r>
      </text>
    </comment>
    <comment ref="EE30" authorId="0" shapeId="0" xr:uid="{E1AA9942-9A8B-44F9-A48F-382CFC5F2F21}">
      <text>
        <r>
          <rPr>
            <b/>
            <sz val="8"/>
            <rFont val="Tahoma"/>
            <family val="2"/>
          </rPr>
          <t>kg CO₂e per unit</t>
        </r>
      </text>
    </comment>
    <comment ref="ER30" authorId="0" shapeId="0" xr:uid="{ACDE1973-3C78-4AEA-AB16-32EC0BBB968F}">
      <text>
        <r>
          <rPr>
            <b/>
            <sz val="8"/>
            <rFont val="Tahoma"/>
            <family val="2"/>
          </rPr>
          <t>An equivalent measure of one tonne of transported goods over one km.</t>
        </r>
      </text>
    </comment>
    <comment ref="K31" authorId="0" shapeId="0" xr:uid="{CF9C7072-FA37-4869-8AFB-ECC6108CF619}">
      <text>
        <r>
          <rPr>
            <b/>
            <sz val="8"/>
            <rFont val="Tahoma"/>
            <family val="2"/>
          </rPr>
          <t>Consists mainly of ethane, plus other hydrocarbons, (excludes butane and propane).</t>
        </r>
      </text>
    </comment>
    <comment ref="BQ31" authorId="0" shapeId="0" xr:uid="{01F9A218-FD90-4C78-BD33-2B0FE77DED5E}">
      <text>
        <r>
          <rPr>
            <b/>
            <sz val="8"/>
            <rFont val="Tahoma"/>
            <family val="2"/>
          </rPr>
          <t>The distance travelled by individual passengers a transport mode</t>
        </r>
      </text>
    </comment>
    <comment ref="BZ31" authorId="2" shapeId="0" xr:uid="{2F12C4AE-55DE-4BAC-9164-A410D59664D1}">
      <text>
        <r>
          <rPr>
            <b/>
            <sz val="9"/>
            <color indexed="81"/>
            <rFont val="Tahoma"/>
            <family val="2"/>
          </rPr>
          <t>jerome baddley:</t>
        </r>
        <r>
          <rPr>
            <sz val="9"/>
            <color indexed="81"/>
            <rFont val="Tahoma"/>
            <family val="2"/>
          </rPr>
          <t xml:space="preserve">
no petrol trucks of this type exist, this factor is for diesel</t>
        </r>
      </text>
    </comment>
    <comment ref="U33" authorId="0" shapeId="0" xr:uid="{16EA06B9-795E-43EA-B292-CD8C528024D1}">
      <text>
        <r>
          <rPr>
            <b/>
            <sz val="8"/>
            <rFont val="Tahoma"/>
            <family val="2"/>
          </rPr>
          <t>kg CO₂e per unit</t>
        </r>
      </text>
    </comment>
    <comment ref="BR33" authorId="0" shapeId="0" xr:uid="{934348FC-286D-4753-AC3B-3FBC7B32C14C}">
      <text>
        <r>
          <rPr>
            <b/>
            <sz val="8"/>
            <rFont val="Tahoma"/>
            <family val="2"/>
          </rPr>
          <t>kg CO₂e per unit</t>
        </r>
      </text>
    </comment>
    <comment ref="BS33" authorId="0" shapeId="0" xr:uid="{5A40A703-35F3-418C-AECE-6C740175E780}">
      <text>
        <r>
          <rPr>
            <b/>
            <sz val="8"/>
            <rFont val="Tahoma"/>
            <family val="2"/>
          </rPr>
          <t>kg CO₂e of CO₂ per unit</t>
        </r>
      </text>
    </comment>
    <comment ref="BT33" authorId="0" shapeId="0" xr:uid="{09F55A1C-7E67-49E0-B78A-C0DBFC79137F}">
      <text>
        <r>
          <rPr>
            <b/>
            <sz val="8"/>
            <rFont val="Tahoma"/>
            <family val="2"/>
          </rPr>
          <t>kg CO₂e of CH₄ per unit</t>
        </r>
      </text>
    </comment>
    <comment ref="BU33" authorId="0" shapeId="0" xr:uid="{62407A4B-BA6A-4B22-B198-68893391E423}">
      <text>
        <r>
          <rPr>
            <b/>
            <sz val="8"/>
            <rFont val="Tahoma"/>
            <family val="2"/>
          </rPr>
          <t>kg CO₂e of N₂O per unit</t>
        </r>
      </text>
    </comment>
    <comment ref="ER33" authorId="0" shapeId="0" xr:uid="{7DB05F94-34BF-49F4-8FA7-98B6CEE172E7}">
      <text>
        <r>
          <rPr>
            <b/>
            <sz val="8"/>
            <rFont val="Tahoma"/>
            <family val="2"/>
          </rPr>
          <t>An equivalent measure of one tonne of transported goods over one km.</t>
        </r>
      </text>
    </comment>
    <comment ref="S34" authorId="0" shapeId="0" xr:uid="{26AD3ED0-5308-4ADB-94DE-4A83BA1CF23D}">
      <text>
        <r>
          <rPr>
            <b/>
            <sz val="8"/>
            <rFont val="Tahoma"/>
            <family val="2"/>
          </rPr>
          <t>A naturally occurring gas from the anaerobic digestion of organic materials (such as sewage and food waste), or produced intentionally as a fuel from the anaerobic digestion of biogenic substances (such as energy crops and agricultural residues).</t>
        </r>
      </text>
    </comment>
    <comment ref="BQ34" authorId="0" shapeId="0" xr:uid="{45C62E55-9939-40B9-96CE-692E7C56C95C}">
      <text>
        <r>
          <rPr>
            <b/>
            <sz val="8"/>
            <rFont val="Tahoma"/>
            <family val="2"/>
          </rPr>
          <t>The distance travelled by individual passengers a transport mode</t>
        </r>
      </text>
    </comment>
    <comment ref="DZ34" authorId="0" shapeId="0" xr:uid="{6B01C96E-769B-4F05-A545-2B10E0CA68AE}">
      <text>
        <r>
          <rPr>
            <b/>
            <sz val="8"/>
            <rFont val="Tahoma"/>
            <family val="2"/>
          </rPr>
          <t>An opaque plastic commonly used for milk bottles</t>
        </r>
      </text>
    </comment>
    <comment ref="BQ35" authorId="0" shapeId="0" xr:uid="{2B65748E-10D9-4DA6-9A6D-BB68AC91E24F}">
      <text>
        <r>
          <rPr>
            <b/>
            <sz val="8"/>
            <rFont val="Tahoma"/>
            <family val="2"/>
          </rPr>
          <t>The distance travelled by individual passengers a transport mode</t>
        </r>
      </text>
    </comment>
    <comment ref="DZ35" authorId="0" shapeId="0" xr:uid="{BEE8E78F-AFA0-4761-AE03-8293485C6F7F}">
      <text>
        <r>
          <rPr>
            <b/>
            <sz val="8"/>
            <rFont val="Tahoma"/>
            <family val="2"/>
          </rPr>
          <t>Packaging material (foils, plastic bags etc.)</t>
        </r>
      </text>
    </comment>
    <comment ref="S36" authorId="0" shapeId="0" xr:uid="{4A27B559-3ED0-45A2-8B8B-2EC0C7673561}">
      <text>
        <r>
          <rPr>
            <b/>
            <sz val="8"/>
            <rFont val="Tahoma"/>
            <family val="2"/>
          </rPr>
          <t>Gas collected from a landfill site. This may be used for electricity generation, collected and purified for use as a transport fuel, or be flared off</t>
        </r>
      </text>
    </comment>
    <comment ref="BQ36" authorId="0" shapeId="0" xr:uid="{8C8CA668-7E8A-4B39-949B-12A6DA2A45F1}">
      <text>
        <r>
          <rPr>
            <b/>
            <sz val="8"/>
            <rFont val="Tahoma"/>
            <family val="2"/>
          </rPr>
          <t>The distance travelled by individual passengers a transport mode</t>
        </r>
      </text>
    </comment>
    <comment ref="DZ36" authorId="0" shapeId="0" xr:uid="{84172C94-F6A7-473C-B0E9-703864A1776A}">
      <text>
        <r>
          <rPr>
            <b/>
            <sz val="8"/>
            <rFont val="Tahoma"/>
            <family val="2"/>
          </rPr>
          <t>For example clear drink bottles/ sandwich wrappers</t>
        </r>
      </text>
    </comment>
    <comment ref="ER36" authorId="0" shapeId="0" xr:uid="{0B039B6A-51D4-4AEF-A64B-93BF50BEA1A8}">
      <text>
        <r>
          <rPr>
            <b/>
            <sz val="8"/>
            <rFont val="Tahoma"/>
            <family val="2"/>
          </rPr>
          <t>An equivalent measure of one tonne of transported goods over one km.</t>
        </r>
      </text>
    </comment>
    <comment ref="DK37" authorId="0" shapeId="0" xr:uid="{E82F5D4D-5FAE-458A-B230-B9402E0A023F}">
      <text>
        <r>
          <rPr>
            <b/>
            <sz val="8"/>
            <rFont val="Tahoma"/>
            <family val="2"/>
          </rPr>
          <t>Blends of gases regulated under the 'Kyoto Protocol'.</t>
        </r>
      </text>
    </comment>
    <comment ref="DZ37" authorId="0" shapeId="0" xr:uid="{9CE1013D-97D0-4D04-A969-F17530A61EA2}">
      <text>
        <r>
          <rPr>
            <b/>
            <sz val="8"/>
            <rFont val="Tahoma"/>
            <family val="2"/>
          </rPr>
          <t>Mainly used in injection moulding i.e. for cutlery, containers, and automotive parts</t>
        </r>
      </text>
    </comment>
    <comment ref="CH38" authorId="0" shapeId="0" xr:uid="{A365AD0A-CD26-4F23-9AEF-34A5108897AB}">
      <text>
        <r>
          <rPr>
            <b/>
            <sz val="8"/>
            <rFont val="Tahoma"/>
            <family val="2"/>
          </rPr>
          <t>Vehicle is not transporting any goods</t>
        </r>
      </text>
    </comment>
    <comment ref="CL38" authorId="0" shapeId="0" xr:uid="{0B66E6FE-8939-4D39-80A8-54B07AD7A69F}">
      <text>
        <r>
          <rPr>
            <b/>
            <sz val="8"/>
            <rFont val="Tahoma"/>
            <family val="2"/>
          </rPr>
          <t>Vehicle is half full of goods</t>
        </r>
      </text>
    </comment>
    <comment ref="CP38" authorId="0" shapeId="0" xr:uid="{8A05DFA9-24C1-4B7A-8AD9-E8D58913E14D}">
      <text>
        <r>
          <rPr>
            <b/>
            <sz val="8"/>
            <rFont val="Tahoma"/>
            <family val="2"/>
          </rPr>
          <t>Vehicle has been loaded to maximum capacity</t>
        </r>
      </text>
    </comment>
    <comment ref="CT38" authorId="0" shapeId="0" xr:uid="{D2C8D74C-F782-4005-A7E8-1D328C83EB9B}">
      <text>
        <r>
          <rPr>
            <b/>
            <sz val="8"/>
            <rFont val="Tahoma"/>
            <family val="2"/>
          </rPr>
          <t>The average percentage laden for a freighting vehicle in the UK</t>
        </r>
      </text>
    </comment>
    <comment ref="DZ38" authorId="0" shapeId="0" xr:uid="{83A1787A-7963-4BE8-80D9-555991DD49BB}">
      <text>
        <r>
          <rPr>
            <b/>
            <sz val="8"/>
            <rFont val="Tahoma"/>
            <family val="2"/>
          </rPr>
          <t>Commonly used for foam based insulation and cheap disposable items i.e. protective packaging and disposable cutlery</t>
        </r>
      </text>
    </comment>
    <comment ref="CH39" authorId="0" shapeId="0" xr:uid="{DF2374CC-F8CE-40A1-8C21-A5EA9BB6F8B7}">
      <text>
        <r>
          <rPr>
            <b/>
            <sz val="8"/>
            <rFont val="Tahoma"/>
            <family val="2"/>
          </rPr>
          <t>kg CO₂e per unit</t>
        </r>
      </text>
    </comment>
    <comment ref="CI39" authorId="0" shapeId="0" xr:uid="{1DB6ABF1-8C99-4E5F-8FB1-B5F2DD214654}">
      <text>
        <r>
          <rPr>
            <b/>
            <sz val="8"/>
            <rFont val="Tahoma"/>
            <family val="2"/>
          </rPr>
          <t>kg CO₂e of CO₂ per unit</t>
        </r>
      </text>
    </comment>
    <comment ref="CJ39" authorId="0" shapeId="0" xr:uid="{FFAD87EE-1890-4B5C-8C25-C4F2E6E86E44}">
      <text>
        <r>
          <rPr>
            <b/>
            <sz val="8"/>
            <rFont val="Tahoma"/>
            <family val="2"/>
          </rPr>
          <t>kg CO₂e of CH₄ per unit</t>
        </r>
      </text>
    </comment>
    <comment ref="CK39" authorId="0" shapeId="0" xr:uid="{B10F5470-9293-40A6-8938-4984B1EDA508}">
      <text>
        <r>
          <rPr>
            <b/>
            <sz val="8"/>
            <rFont val="Tahoma"/>
            <family val="2"/>
          </rPr>
          <t>kg CO₂e of N₂O per unit</t>
        </r>
      </text>
    </comment>
    <comment ref="CL39" authorId="0" shapeId="0" xr:uid="{F92D1372-8A17-4D54-A3B7-CE052006E495}">
      <text>
        <r>
          <rPr>
            <b/>
            <sz val="8"/>
            <rFont val="Tahoma"/>
            <family val="2"/>
          </rPr>
          <t>kg CO₂e per unit</t>
        </r>
      </text>
    </comment>
    <comment ref="CM39" authorId="0" shapeId="0" xr:uid="{52FBABF2-9E99-4646-A49E-79A4422A9FA2}">
      <text>
        <r>
          <rPr>
            <b/>
            <sz val="8"/>
            <rFont val="Tahoma"/>
            <family val="2"/>
          </rPr>
          <t>kg CO₂e of CO₂ per unit</t>
        </r>
      </text>
    </comment>
    <comment ref="CN39" authorId="0" shapeId="0" xr:uid="{031DBBF2-A782-4EA6-81E8-89E5A624D2DA}">
      <text>
        <r>
          <rPr>
            <b/>
            <sz val="8"/>
            <rFont val="Tahoma"/>
            <family val="2"/>
          </rPr>
          <t>kg CO₂e of CH₄ per unit</t>
        </r>
      </text>
    </comment>
    <comment ref="CO39" authorId="0" shapeId="0" xr:uid="{6C7E0B5B-D571-4557-97D8-4C3FF1FD510F}">
      <text>
        <r>
          <rPr>
            <b/>
            <sz val="8"/>
            <rFont val="Tahoma"/>
            <family val="2"/>
          </rPr>
          <t>kg CO₂e of N₂O per unit</t>
        </r>
      </text>
    </comment>
    <comment ref="CP39" authorId="0" shapeId="0" xr:uid="{3610B9CF-1627-488E-8F3A-E985BF6448F7}">
      <text>
        <r>
          <rPr>
            <b/>
            <sz val="8"/>
            <rFont val="Tahoma"/>
            <family val="2"/>
          </rPr>
          <t>kg CO₂e per unit</t>
        </r>
      </text>
    </comment>
    <comment ref="CQ39" authorId="0" shapeId="0" xr:uid="{6D05AAA6-7398-436A-BEB7-DA1449CD4CA4}">
      <text>
        <r>
          <rPr>
            <b/>
            <sz val="8"/>
            <rFont val="Tahoma"/>
            <family val="2"/>
          </rPr>
          <t>kg CO₂e of CO₂ per unit</t>
        </r>
      </text>
    </comment>
    <comment ref="CR39" authorId="0" shapeId="0" xr:uid="{50CDDB87-E59A-4BDA-9BA8-629C35104CF8}">
      <text>
        <r>
          <rPr>
            <b/>
            <sz val="8"/>
            <rFont val="Tahoma"/>
            <family val="2"/>
          </rPr>
          <t>kg CO₂e of CH₄ per unit</t>
        </r>
      </text>
    </comment>
    <comment ref="CS39" authorId="0" shapeId="0" xr:uid="{3724F2A4-93BC-4F27-9572-C02679897319}">
      <text>
        <r>
          <rPr>
            <b/>
            <sz val="8"/>
            <rFont val="Tahoma"/>
            <family val="2"/>
          </rPr>
          <t>kg CO₂e of N₂O per unit</t>
        </r>
      </text>
    </comment>
    <comment ref="CT39" authorId="0" shapeId="0" xr:uid="{DDFF01A6-490B-4CC4-B376-D978F5576475}">
      <text>
        <r>
          <rPr>
            <b/>
            <sz val="8"/>
            <rFont val="Tahoma"/>
            <family val="2"/>
          </rPr>
          <t>kg CO₂e per unit</t>
        </r>
      </text>
    </comment>
    <comment ref="CU39" authorId="0" shapeId="0" xr:uid="{ECDAE430-5B09-488B-803E-C82F42F771A3}">
      <text>
        <r>
          <rPr>
            <b/>
            <sz val="8"/>
            <rFont val="Tahoma"/>
            <family val="2"/>
          </rPr>
          <t>kg CO₂e of CO₂ per unit</t>
        </r>
      </text>
    </comment>
    <comment ref="CV39" authorId="0" shapeId="0" xr:uid="{190033BE-00C0-45A1-981F-948F05AA8C41}">
      <text>
        <r>
          <rPr>
            <b/>
            <sz val="8"/>
            <rFont val="Tahoma"/>
            <family val="2"/>
          </rPr>
          <t>kg CO₂e of CH₄ per unit</t>
        </r>
      </text>
    </comment>
    <comment ref="CW39" authorId="0" shapeId="0" xr:uid="{A8D48D01-4410-4E04-8C77-BDCEB83A5F3C}">
      <text>
        <r>
          <rPr>
            <b/>
            <sz val="8"/>
            <rFont val="Tahoma"/>
            <family val="2"/>
          </rPr>
          <t>kg CO₂e of N₂O per unit</t>
        </r>
      </text>
    </comment>
    <comment ref="DZ39" authorId="0" shapeId="0" xr:uid="{B5B45EB8-290C-4424-B954-8B6580564363}">
      <text>
        <r>
          <rPr>
            <b/>
            <sz val="8"/>
            <rFont val="Tahoma"/>
            <family val="2"/>
          </rPr>
          <t>Widespread use in building, transport, packaging, electrical/electronic and healthcare applications</t>
        </r>
      </text>
    </comment>
    <comment ref="ER39" authorId="0" shapeId="0" xr:uid="{49D30293-D4A4-43FB-B3E8-3BF437D265C3}">
      <text>
        <r>
          <rPr>
            <b/>
            <sz val="8"/>
            <rFont val="Tahoma"/>
            <family val="2"/>
          </rPr>
          <t>An equivalent measure of one tonne of transported goods over one km.</t>
        </r>
      </text>
    </comment>
    <comment ref="M40" authorId="0" shapeId="0" xr:uid="{D60EA03F-249D-4D61-B721-837F05DC02BF}">
      <text>
        <r>
          <rPr>
            <b/>
            <sz val="8"/>
            <rFont val="Tahoma"/>
            <family val="2"/>
          </rPr>
          <t>kg CO₂e per unit</t>
        </r>
      </text>
    </comment>
    <comment ref="N40" authorId="0" shapeId="0" xr:uid="{622058AB-7D06-4725-9331-F750E38A3842}">
      <text>
        <r>
          <rPr>
            <b/>
            <sz val="8"/>
            <rFont val="Tahoma"/>
            <family val="2"/>
          </rPr>
          <t>kg CO₂e of CO₂ per unit</t>
        </r>
      </text>
    </comment>
    <comment ref="O40" authorId="0" shapeId="0" xr:uid="{7D6C227B-C1C6-40A6-84F6-995885E0BDE9}">
      <text>
        <r>
          <rPr>
            <b/>
            <sz val="8"/>
            <rFont val="Tahoma"/>
            <family val="2"/>
          </rPr>
          <t>kg CO₂e of CH₄ per unit</t>
        </r>
      </text>
    </comment>
    <comment ref="P40" authorId="0" shapeId="0" xr:uid="{D48E008D-7889-49DA-BF48-DF3D48477EAC}">
      <text>
        <r>
          <rPr>
            <b/>
            <sz val="8"/>
            <rFont val="Tahoma"/>
            <family val="2"/>
          </rPr>
          <t>kg CO₂e of N₂O per unit</t>
        </r>
      </text>
    </comment>
    <comment ref="BZ40" authorId="2" shapeId="0" xr:uid="{7430826D-755C-4375-9299-5AE8DFAA8595}">
      <text>
        <r>
          <rPr>
            <b/>
            <sz val="9"/>
            <color indexed="81"/>
            <rFont val="Tahoma"/>
            <family val="2"/>
          </rPr>
          <t>jerome baddley:</t>
        </r>
        <r>
          <rPr>
            <sz val="9"/>
            <color indexed="81"/>
            <rFont val="Tahoma"/>
            <family val="2"/>
          </rPr>
          <t xml:space="preserve">
No diesel motorbikes exist, this is set to petrol</t>
        </r>
      </text>
    </comment>
    <comment ref="CE40" authorId="0" shapeId="0" xr:uid="{9E3FD049-7839-42A2-9FF7-8DF13D7C0B6C}">
      <text>
        <r>
          <rPr>
            <b/>
            <sz val="8"/>
            <rFont val="Tahoma"/>
            <family val="2"/>
          </rPr>
          <t>Refrigerated road vehicles with maximum weight exceeding 3.5 tonnes.</t>
        </r>
      </text>
    </comment>
    <comment ref="DR40" authorId="0" shapeId="0" xr:uid="{600F6C6F-9991-4393-AB65-98992FE99E5F}">
      <text>
        <r>
          <rPr>
            <b/>
            <sz val="8"/>
            <rFont val="Tahoma"/>
            <family val="2"/>
          </rPr>
          <t>kg CO₂e per unit</t>
        </r>
      </text>
    </comment>
    <comment ref="K41" authorId="0" shapeId="0" xr:uid="{53EA3F91-E2F1-44F2-BEF4-52AEE0352DAA}">
      <text>
        <r>
          <rPr>
            <b/>
            <sz val="8"/>
            <rFont val="Tahoma"/>
            <family val="2"/>
          </rPr>
          <t>Fuel for piston-engine aircraft - a high octane petrol (aka AVGAS).</t>
        </r>
      </text>
    </comment>
    <comment ref="DO41" authorId="0" shapeId="0" xr:uid="{A528F146-EE7F-4FAE-A105-8D5CD20AD1A9}">
      <text>
        <r>
          <rPr>
            <b/>
            <sz val="8"/>
            <rFont val="Tahoma"/>
            <family val="2"/>
          </rPr>
          <t>Blends of gases regulated under the 'Kyoto Protocol'.</t>
        </r>
      </text>
    </comment>
    <comment ref="BZ42" authorId="2" shapeId="0" xr:uid="{D0AEAFBD-7798-4E98-8D4D-AA1133203922}">
      <text>
        <r>
          <rPr>
            <b/>
            <sz val="9"/>
            <color indexed="81"/>
            <rFont val="Tahoma"/>
            <family val="2"/>
          </rPr>
          <t>jerome baddley:</t>
        </r>
        <r>
          <rPr>
            <sz val="9"/>
            <color indexed="81"/>
            <rFont val="Tahoma"/>
            <family val="2"/>
          </rPr>
          <t xml:space="preserve">
No diesel motorbikes exist, this is set to petrol</t>
        </r>
      </text>
    </comment>
    <comment ref="EK42" authorId="2" shapeId="0" xr:uid="{24ACFA34-DF35-4729-89C8-E007C4304B47}">
      <text>
        <r>
          <rPr>
            <b/>
            <sz val="9"/>
            <color indexed="81"/>
            <rFont val="Tahoma"/>
            <family val="2"/>
          </rPr>
          <t>jerome baddley:</t>
        </r>
        <r>
          <rPr>
            <sz val="9"/>
            <color indexed="81"/>
            <rFont val="Tahoma"/>
            <family val="2"/>
          </rPr>
          <t xml:space="preserve">
No diesel motorbikes exist, this is set to petrol</t>
        </r>
      </text>
    </comment>
    <comment ref="ER42" authorId="0" shapeId="0" xr:uid="{5DBF25A8-BBD1-4968-B502-964A255EB12C}">
      <text>
        <r>
          <rPr>
            <b/>
            <sz val="8"/>
            <rFont val="Tahoma"/>
            <family val="2"/>
          </rPr>
          <t>An equivalent measure of one tonne of transported goods over one km.</t>
        </r>
      </text>
    </comment>
    <comment ref="BZ44" authorId="2" shapeId="0" xr:uid="{1AD39F4F-8C73-474A-9E3C-9596A339D94C}">
      <text>
        <r>
          <rPr>
            <b/>
            <sz val="9"/>
            <color indexed="81"/>
            <rFont val="Tahoma"/>
            <family val="2"/>
          </rPr>
          <t>jerome baddley:</t>
        </r>
        <r>
          <rPr>
            <sz val="9"/>
            <color indexed="81"/>
            <rFont val="Tahoma"/>
            <family val="2"/>
          </rPr>
          <t xml:space="preserve">
No diesel motorbikes exist, this is set to petrol</t>
        </r>
      </text>
    </comment>
    <comment ref="EK44" authorId="2" shapeId="0" xr:uid="{072A5C80-3207-4455-B932-CFE8026BDEA7}">
      <text>
        <r>
          <rPr>
            <b/>
            <sz val="9"/>
            <color indexed="81"/>
            <rFont val="Tahoma"/>
            <family val="2"/>
          </rPr>
          <t>jerome baddley:</t>
        </r>
        <r>
          <rPr>
            <sz val="9"/>
            <color indexed="81"/>
            <rFont val="Tahoma"/>
            <family val="2"/>
          </rPr>
          <t xml:space="preserve">
No diesel motorbikes exist, this is set to petrol</t>
        </r>
      </text>
    </comment>
    <comment ref="K45" authorId="0" shapeId="0" xr:uid="{76182962-9FF9-4314-85CF-9D9FB985C273}">
      <text>
        <r>
          <rPr>
            <b/>
            <sz val="8"/>
            <rFont val="Tahoma"/>
            <family val="2"/>
          </rPr>
          <t>Fuel for turbo-prop aircraft and jets (aka jet fuel). Similar to kerosene used as a heating fuel, but refined to a higher quality.</t>
        </r>
      </text>
    </comment>
    <comment ref="ER45" authorId="0" shapeId="0" xr:uid="{139073C8-878B-4C82-AB82-26BCADC63BC7}">
      <text>
        <r>
          <rPr>
            <b/>
            <sz val="8"/>
            <rFont val="Tahoma"/>
            <family val="2"/>
          </rPr>
          <t>An equivalent measure of one tonne of transported goods over one km.</t>
        </r>
      </text>
    </comment>
    <comment ref="DK46" authorId="0" shapeId="0" xr:uid="{B252C070-5D37-4767-AAB4-91592F25C0A1}">
      <text>
        <r>
          <rPr>
            <b/>
            <sz val="8"/>
            <rFont val="Tahoma"/>
            <family val="2"/>
          </rPr>
          <t>Gases covered by an international treaty (Montreal Protocol 1987) that aims to 'phase out' specific, known ozone-depleting substances.</t>
        </r>
      </text>
    </comment>
    <comment ref="EK46" authorId="2" shapeId="0" xr:uid="{8544027F-B214-4328-9862-8038ED9A4425}">
      <text>
        <r>
          <rPr>
            <b/>
            <sz val="9"/>
            <color indexed="81"/>
            <rFont val="Tahoma"/>
            <family val="2"/>
          </rPr>
          <t>jerome baddley:</t>
        </r>
        <r>
          <rPr>
            <sz val="9"/>
            <color indexed="81"/>
            <rFont val="Tahoma"/>
            <family val="2"/>
          </rPr>
          <t xml:space="preserve">
No diesel motorbikes exist, this is set to petrol</t>
        </r>
      </text>
    </comment>
    <comment ref="K49" authorId="0" shapeId="0" xr:uid="{D6C2AB83-43E7-4774-9129-3695F14C0635}">
      <text>
        <r>
          <rPr>
            <b/>
            <sz val="8"/>
            <rFont val="Tahoma"/>
            <family val="2"/>
          </rPr>
          <t>Main purpose is for heating/lighting on a domestic scale (also known as kerosene).</t>
        </r>
      </text>
    </comment>
    <comment ref="ES50" authorId="0" shapeId="0" xr:uid="{CDB6A50D-05EB-4C84-9AE3-765240825896}">
      <text>
        <r>
          <rPr>
            <b/>
            <sz val="8"/>
            <rFont val="Tahoma"/>
            <family val="2"/>
          </rPr>
          <t>Vehicle is not transporting any goods.</t>
        </r>
      </text>
    </comment>
    <comment ref="EW50" authorId="0" shapeId="0" xr:uid="{94E40208-ABAA-4E59-8AA5-0C7D3A251AD1}">
      <text>
        <r>
          <rPr>
            <b/>
            <sz val="8"/>
            <rFont val="Tahoma"/>
            <family val="2"/>
          </rPr>
          <t>Vehicle is half full of goods.</t>
        </r>
      </text>
    </comment>
    <comment ref="FA50" authorId="0" shapeId="0" xr:uid="{A86CBB8E-A201-4EE9-AA58-088F5E3AF65A}">
      <text>
        <r>
          <rPr>
            <b/>
            <sz val="8"/>
            <rFont val="Tahoma"/>
            <family val="2"/>
          </rPr>
          <t>Vehicle has been loaded to maximum capacity.</t>
        </r>
      </text>
    </comment>
    <comment ref="FE50" authorId="0" shapeId="0" xr:uid="{A9C81DF2-7BB2-4BA4-9354-900B96AB1105}">
      <text>
        <r>
          <rPr>
            <b/>
            <sz val="8"/>
            <rFont val="Tahoma"/>
            <family val="2"/>
          </rPr>
          <t>The average percentage laden for a freighting vehicle in the UK.</t>
        </r>
      </text>
    </comment>
    <comment ref="ES51" authorId="0" shapeId="0" xr:uid="{AA32176C-55A3-4A38-A0A7-9D8D5ED40E52}">
      <text>
        <r>
          <rPr>
            <b/>
            <sz val="8"/>
            <rFont val="Tahoma"/>
            <family val="2"/>
          </rPr>
          <t>kg CO₂e per unit</t>
        </r>
      </text>
    </comment>
    <comment ref="ET51" authorId="0" shapeId="0" xr:uid="{C680EE21-9EAA-40CB-8B1D-99BA29BBD24F}">
      <text>
        <r>
          <rPr>
            <b/>
            <sz val="8"/>
            <rFont val="Tahoma"/>
            <family val="2"/>
          </rPr>
          <t>kg CO₂e of CO₂ per unit</t>
        </r>
      </text>
    </comment>
    <comment ref="EU51" authorId="0" shapeId="0" xr:uid="{B4853B07-1FA3-47A6-931F-431A3FAF176E}">
      <text>
        <r>
          <rPr>
            <b/>
            <sz val="8"/>
            <rFont val="Tahoma"/>
            <family val="2"/>
          </rPr>
          <t>kg CO₂e of CH₄ per unit</t>
        </r>
      </text>
    </comment>
    <comment ref="EV51" authorId="0" shapeId="0" xr:uid="{CE03F966-160E-420C-811E-E6C9737AC400}">
      <text>
        <r>
          <rPr>
            <b/>
            <sz val="8"/>
            <rFont val="Tahoma"/>
            <family val="2"/>
          </rPr>
          <t>kg CO₂e of N₂O per unit</t>
        </r>
      </text>
    </comment>
    <comment ref="EW51" authorId="0" shapeId="0" xr:uid="{9FB280B3-72E9-4C08-B55E-81426867FE62}">
      <text>
        <r>
          <rPr>
            <b/>
            <sz val="8"/>
            <rFont val="Tahoma"/>
            <family val="2"/>
          </rPr>
          <t>kg CO₂e per unit</t>
        </r>
      </text>
    </comment>
    <comment ref="EX51" authorId="0" shapeId="0" xr:uid="{5AEFA9DC-AC4D-42AD-90CA-3E902DE055CA}">
      <text>
        <r>
          <rPr>
            <b/>
            <sz val="8"/>
            <rFont val="Tahoma"/>
            <family val="2"/>
          </rPr>
          <t>kg CO₂e of CO₂ per unit</t>
        </r>
      </text>
    </comment>
    <comment ref="EY51" authorId="0" shapeId="0" xr:uid="{A6764ED2-C9FC-4870-A843-98CE9D76C118}">
      <text>
        <r>
          <rPr>
            <b/>
            <sz val="8"/>
            <rFont val="Tahoma"/>
            <family val="2"/>
          </rPr>
          <t>kg CO₂e of CH₄ per unit</t>
        </r>
      </text>
    </comment>
    <comment ref="EZ51" authorId="0" shapeId="0" xr:uid="{98AF42E3-8F74-4636-9308-3109723FC1AC}">
      <text>
        <r>
          <rPr>
            <b/>
            <sz val="8"/>
            <rFont val="Tahoma"/>
            <family val="2"/>
          </rPr>
          <t>kg CO₂e of N₂O per unit</t>
        </r>
      </text>
    </comment>
    <comment ref="FA51" authorId="0" shapeId="0" xr:uid="{73F4AE3D-A2BF-467B-A477-F07D772F1587}">
      <text>
        <r>
          <rPr>
            <b/>
            <sz val="8"/>
            <rFont val="Tahoma"/>
            <family val="2"/>
          </rPr>
          <t>kg CO₂e per unit</t>
        </r>
      </text>
    </comment>
    <comment ref="FB51" authorId="0" shapeId="0" xr:uid="{3048244D-F9E0-4C92-8F11-353C98FA2544}">
      <text>
        <r>
          <rPr>
            <b/>
            <sz val="8"/>
            <rFont val="Tahoma"/>
            <family val="2"/>
          </rPr>
          <t>kg CO₂e of CO₂ per unit</t>
        </r>
      </text>
    </comment>
    <comment ref="FC51" authorId="0" shapeId="0" xr:uid="{D85426AB-C60D-4B49-A167-C4B73F6FA6EE}">
      <text>
        <r>
          <rPr>
            <b/>
            <sz val="8"/>
            <rFont val="Tahoma"/>
            <family val="2"/>
          </rPr>
          <t>kg CO₂e of CH₄ per unit</t>
        </r>
      </text>
    </comment>
    <comment ref="FD51" authorId="0" shapeId="0" xr:uid="{9320C970-CCC9-4ECC-B10C-2011A95DEED5}">
      <text>
        <r>
          <rPr>
            <b/>
            <sz val="8"/>
            <rFont val="Tahoma"/>
            <family val="2"/>
          </rPr>
          <t>kg CO₂e of N₂O per unit</t>
        </r>
      </text>
    </comment>
    <comment ref="FE51" authorId="0" shapeId="0" xr:uid="{2D7FA08A-B005-4891-9DA1-586C971B64A9}">
      <text>
        <r>
          <rPr>
            <b/>
            <sz val="8"/>
            <rFont val="Tahoma"/>
            <family val="2"/>
          </rPr>
          <t>kg CO₂e per unit</t>
        </r>
      </text>
    </comment>
    <comment ref="FF51" authorId="0" shapeId="0" xr:uid="{F9370EE2-CA00-41A4-A4F3-1D15EC6F7DDD}">
      <text>
        <r>
          <rPr>
            <b/>
            <sz val="8"/>
            <rFont val="Tahoma"/>
            <family val="2"/>
          </rPr>
          <t>kg CO₂e of CO₂ per unit</t>
        </r>
      </text>
    </comment>
    <comment ref="FG51" authorId="0" shapeId="0" xr:uid="{38522A8F-4538-4023-9DE4-727AB6F53F35}">
      <text>
        <r>
          <rPr>
            <b/>
            <sz val="8"/>
            <rFont val="Tahoma"/>
            <family val="2"/>
          </rPr>
          <t>kg CO₂e of CH₄ per unit</t>
        </r>
      </text>
    </comment>
    <comment ref="FH51" authorId="0" shapeId="0" xr:uid="{38DEDB31-B7E4-4B84-BE2D-7C4F4F0ADDC5}">
      <text>
        <r>
          <rPr>
            <b/>
            <sz val="8"/>
            <rFont val="Tahoma"/>
            <family val="2"/>
          </rPr>
          <t>kg CO₂e of N₂O per unit</t>
        </r>
      </text>
    </comment>
    <comment ref="EP52" authorId="0" shapeId="0" xr:uid="{1FA375CD-9EA2-457B-BE9C-F1916EAA7CE3}">
      <text>
        <r>
          <rPr>
            <b/>
            <sz val="8"/>
            <rFont val="Tahoma"/>
            <family val="2"/>
          </rPr>
          <t>Refrigerated road vehicle with maximum weight exceeding 3.5 tonnes.</t>
        </r>
      </text>
    </comment>
    <comment ref="ER52" authorId="0" shapeId="0" xr:uid="{D4EE8175-60FC-4424-9CDE-D11CDBB5984A}">
      <text>
        <r>
          <rPr>
            <b/>
            <sz val="8"/>
            <rFont val="Tahoma"/>
            <family val="2"/>
          </rPr>
          <t>An equivalent measure of one tonne of transported goods over one km.</t>
        </r>
      </text>
    </comment>
    <comment ref="K53" authorId="0" shapeId="0" xr:uid="{2AB93FCD-C9B6-4341-A9E8-107B79AC3EE7}">
      <text>
        <r>
          <rPr>
            <b/>
            <sz val="8"/>
            <rFont val="Tahoma"/>
            <family val="2"/>
          </rPr>
          <t>Standard diesel bought from any local filling station (across the board forecourt fuel typically contains biofuel content).</t>
        </r>
      </text>
    </comment>
    <comment ref="DR53" authorId="0" shapeId="0" xr:uid="{AFE6945B-358E-43E6-A797-39F8530FD5C3}">
      <text>
        <r>
          <rPr>
            <b/>
            <sz val="8"/>
            <rFont val="Tahoma"/>
            <family val="2"/>
          </rPr>
          <t>kg CO₂e per unit</t>
        </r>
      </text>
    </comment>
    <comment ref="DO54" authorId="0" shapeId="0" xr:uid="{C4044785-0327-4384-8BF8-9695DE662168}">
      <text>
        <r>
          <rPr>
            <b/>
            <sz val="8"/>
            <rFont val="Tahoma"/>
            <family val="2"/>
          </rPr>
          <t>Gases covered by an international treaty (Montreal Protocol 1987) that aims to 'phase out' specific, known ozone-depleting substances.</t>
        </r>
      </text>
    </comment>
    <comment ref="ER55" authorId="0" shapeId="0" xr:uid="{4FC1332C-D23F-4CBB-9F58-1E20795F2905}">
      <text>
        <r>
          <rPr>
            <b/>
            <sz val="8"/>
            <rFont val="Tahoma"/>
            <family val="2"/>
          </rPr>
          <t>An equivalent measure of one tonne of transported goods over one km.</t>
        </r>
      </text>
    </comment>
    <comment ref="K57" authorId="0" shapeId="0" xr:uid="{2E1AA97D-707A-439C-A48F-A8029F9E04A2}">
      <text>
        <r>
          <rPr>
            <b/>
            <sz val="8"/>
            <rFont val="Tahoma"/>
            <family val="2"/>
          </rPr>
          <t>Diesel that has not been blended with biofuel (non-forecourt diesel).</t>
        </r>
      </text>
    </comment>
    <comment ref="ER58" authorId="0" shapeId="0" xr:uid="{362D2FDB-EB7C-4476-B03D-5297D86F8821}">
      <text>
        <r>
          <rPr>
            <b/>
            <sz val="8"/>
            <rFont val="Tahoma"/>
            <family val="2"/>
          </rPr>
          <t>An equivalent measure of one tonne of transported goods over one km.</t>
        </r>
      </text>
    </comment>
    <comment ref="K61" authorId="0" shapeId="0" xr:uid="{2ACCD798-0E34-46D8-9DF2-7B4E42E51689}">
      <text>
        <r>
          <rPr>
            <b/>
            <sz val="8"/>
            <rFont val="Tahoma"/>
            <family val="2"/>
          </rPr>
          <t>Heavy oil used as fuel in furnaces and boilers of power stations, in industry, for industrial heating and in ships.</t>
        </r>
      </text>
    </comment>
    <comment ref="ER61" authorId="0" shapeId="0" xr:uid="{A9E9D939-0313-4745-A02C-3B4CE6443447}">
      <text>
        <r>
          <rPr>
            <b/>
            <sz val="8"/>
            <rFont val="Tahoma"/>
            <family val="2"/>
          </rPr>
          <t>An equivalent measure of one tonne of transported goods over one km.</t>
        </r>
      </text>
    </comment>
    <comment ref="ER64" authorId="0" shapeId="0" xr:uid="{1C99C96B-A4E0-4D36-9807-3D052E988712}">
      <text>
        <r>
          <rPr>
            <b/>
            <sz val="8"/>
            <rFont val="Tahoma"/>
            <family val="2"/>
          </rPr>
          <t>An equivalent measure of one tonne of transported goods over one km.</t>
        </r>
      </text>
    </comment>
    <comment ref="K65" authorId="0" shapeId="0" xr:uid="{AFDA3BB7-044E-4146-963D-7ACC079E8599}">
      <text>
        <r>
          <rPr>
            <b/>
            <sz val="8"/>
            <rFont val="Tahoma"/>
            <family val="2"/>
          </rPr>
          <t>Medium oil used in diesel engines and heating systems (also known as red diesel).</t>
        </r>
      </text>
    </comment>
    <comment ref="ER67" authorId="0" shapeId="0" xr:uid="{531E6BF3-12AC-431C-9F9C-E042FFECCDE2}">
      <text>
        <r>
          <rPr>
            <b/>
            <sz val="8"/>
            <rFont val="Tahoma"/>
            <family val="2"/>
          </rPr>
          <t>An equivalent measure of one tonne of transported goods over one km.</t>
        </r>
      </text>
    </comment>
    <comment ref="K69" authorId="4" shapeId="0" xr:uid="{19DF2CBA-F097-47BA-974D-4F002905DD84}">
      <text>
        <r>
          <rPr>
            <b/>
            <sz val="8"/>
            <color indexed="81"/>
            <rFont val="Tahoma"/>
            <family val="2"/>
          </rPr>
          <t>Waste petroleum-based lubricating oils recovered for use as fuels</t>
        </r>
      </text>
    </comment>
    <comment ref="ER70" authorId="0" shapeId="0" xr:uid="{C3ECF266-EAF8-431E-AA53-166A9880CBFF}">
      <text>
        <r>
          <rPr>
            <b/>
            <sz val="8"/>
            <rFont val="Tahoma"/>
            <family val="2"/>
          </rPr>
          <t>An equivalent measure of one tonne of transported goods over one km.</t>
        </r>
      </text>
    </comment>
    <comment ref="K73" authorId="0" shapeId="0" xr:uid="{620885DE-5F11-460D-9962-5A5D52275D92}">
      <text>
        <r>
          <rPr>
            <b/>
            <sz val="8"/>
            <rFont val="Tahoma"/>
            <family val="2"/>
          </rPr>
          <t>A product of crude oil refining - often used as a solvent.</t>
        </r>
      </text>
    </comment>
    <comment ref="ER73" authorId="0" shapeId="0" xr:uid="{52A7D9F1-0F35-4812-B66C-05AF810D682F}">
      <text>
        <r>
          <rPr>
            <b/>
            <sz val="8"/>
            <rFont val="Tahoma"/>
            <family val="2"/>
          </rPr>
          <t>An equivalent measure of one tonne of transported goods over one km.</t>
        </r>
      </text>
    </comment>
    <comment ref="K77" authorId="0" shapeId="0" xr:uid="{236EC861-83F6-413F-959C-96202C5A10EC}">
      <text>
        <r>
          <rPr>
            <b/>
            <sz val="8"/>
            <rFont val="Tahoma"/>
            <family val="2"/>
          </rPr>
          <t>Standard petrol bought from any local filling station (across the board forecourt fuel typically contains biofuel content).</t>
        </r>
      </text>
    </comment>
    <comment ref="DR77" authorId="0" shapeId="0" xr:uid="{E9EC882A-416C-4661-B0C0-2B2D90CC5718}">
      <text>
        <r>
          <rPr>
            <b/>
            <sz val="8"/>
            <rFont val="Tahoma"/>
            <family val="2"/>
          </rPr>
          <t>kg CO₂e per unit</t>
        </r>
      </text>
    </comment>
    <comment ref="ES78" authorId="0" shapeId="0" xr:uid="{64C03D7B-8421-42FD-BDCB-1AA9448419D2}">
      <text>
        <r>
          <rPr>
            <b/>
            <sz val="8"/>
            <rFont val="Tahoma"/>
            <family val="2"/>
          </rPr>
          <t>Including the influence of non-CO₂ climate change effects of aviation (water vapour, contrails, NOx etc.)</t>
        </r>
      </text>
    </comment>
    <comment ref="EW78" authorId="0" shapeId="0" xr:uid="{40CDD019-EBD5-4F63-AE76-76FE1E2A1D3D}">
      <text>
        <r>
          <rPr>
            <b/>
            <sz val="8"/>
            <rFont val="Tahoma"/>
            <family val="2"/>
          </rPr>
          <t>Excluding the influence of non-CO₂ climate change effects of aviation (water vapour, contrails, NOx etc.)</t>
        </r>
      </text>
    </comment>
    <comment ref="ES79" authorId="0" shapeId="0" xr:uid="{1113432E-F6B4-4421-8BA0-E88328070647}">
      <text>
        <r>
          <rPr>
            <b/>
            <sz val="8"/>
            <rFont val="Tahoma"/>
            <family val="2"/>
          </rPr>
          <t>kg CO₂e per unit</t>
        </r>
      </text>
    </comment>
    <comment ref="ET79" authorId="0" shapeId="0" xr:uid="{B251C92F-7775-4EE9-8948-3939E2505EA8}">
      <text>
        <r>
          <rPr>
            <b/>
            <sz val="8"/>
            <rFont val="Tahoma"/>
            <family val="2"/>
          </rPr>
          <t>kg CO₂e of CO₂ per unit</t>
        </r>
      </text>
    </comment>
    <comment ref="EU79" authorId="0" shapeId="0" xr:uid="{F19647DA-A451-4FB4-993B-9B046B965B0B}">
      <text>
        <r>
          <rPr>
            <b/>
            <sz val="8"/>
            <rFont val="Tahoma"/>
            <family val="2"/>
          </rPr>
          <t>kg CO₂e of CH₄ per unit</t>
        </r>
      </text>
    </comment>
    <comment ref="EV79" authorId="0" shapeId="0" xr:uid="{C07EA202-C9F9-48E3-B7DD-900B79CDC5D2}">
      <text>
        <r>
          <rPr>
            <b/>
            <sz val="8"/>
            <rFont val="Tahoma"/>
            <family val="2"/>
          </rPr>
          <t>kg CO₂e of N₂O per unit</t>
        </r>
      </text>
    </comment>
    <comment ref="EW79" authorId="0" shapeId="0" xr:uid="{3BA7D121-A461-49F7-8DC7-9ECFAAF20286}">
      <text>
        <r>
          <rPr>
            <b/>
            <sz val="8"/>
            <rFont val="Tahoma"/>
            <family val="2"/>
          </rPr>
          <t>kg CO₂e per unit</t>
        </r>
      </text>
    </comment>
    <comment ref="EX79" authorId="0" shapeId="0" xr:uid="{D0429C9C-1F4D-46AD-BEE3-F756240D066B}">
      <text>
        <r>
          <rPr>
            <b/>
            <sz val="8"/>
            <rFont val="Tahoma"/>
            <family val="2"/>
          </rPr>
          <t>kg CO₂e of CO₂ per unit</t>
        </r>
      </text>
    </comment>
    <comment ref="EY79" authorId="0" shapeId="0" xr:uid="{CC8D43A5-87A9-4DDC-8C1E-C766B3007835}">
      <text>
        <r>
          <rPr>
            <b/>
            <sz val="8"/>
            <rFont val="Tahoma"/>
            <family val="2"/>
          </rPr>
          <t>kg CO₂e of CH₄ per unit</t>
        </r>
      </text>
    </comment>
    <comment ref="EZ79" authorId="0" shapeId="0" xr:uid="{B05BD44D-40B9-4B02-9C92-0A98FACFF107}">
      <text>
        <r>
          <rPr>
            <b/>
            <sz val="8"/>
            <rFont val="Tahoma"/>
            <family val="2"/>
          </rPr>
          <t>kg CO₂e of N₂O per unit</t>
        </r>
      </text>
    </comment>
    <comment ref="EQ80" authorId="0" shapeId="0" xr:uid="{D153A0E1-B648-4830-86FC-275DF9F9D2D3}">
      <text>
        <r>
          <rPr>
            <b/>
            <sz val="8"/>
            <rFont val="Tahoma"/>
            <family val="2"/>
          </rPr>
          <t>Domestic flights are between UK airports.</t>
        </r>
      </text>
    </comment>
    <comment ref="ER80" authorId="0" shapeId="0" xr:uid="{55FB1B09-2E18-4B38-A93D-123509E8B653}">
      <text>
        <r>
          <rPr>
            <b/>
            <sz val="8"/>
            <rFont val="Tahoma"/>
            <family val="2"/>
          </rPr>
          <t>An equivalent measure of one tonne of transported goods over one km</t>
        </r>
      </text>
    </comment>
    <comment ref="K81" authorId="0" shapeId="0" xr:uid="{E9BC4C04-145F-4701-8BE1-53785D053664}">
      <text>
        <r>
          <rPr>
            <b/>
            <sz val="8"/>
            <rFont val="Tahoma"/>
            <family val="2"/>
          </rPr>
          <t>Petrol that has not been blended with biofuel (non forecourt petrol).</t>
        </r>
      </text>
    </comment>
    <comment ref="EQ81" authorId="0" shapeId="0" xr:uid="{3F69CD08-A61C-45ED-95C0-9BE2B7078FB8}">
      <text>
        <r>
          <rPr>
            <b/>
            <sz val="8"/>
            <rFont val="Tahoma"/>
            <family val="2"/>
          </rPr>
          <t>International flights to/from the UK, typically to Europe (up to 3700km distance).</t>
        </r>
      </text>
    </comment>
    <comment ref="ER81" authorId="0" shapeId="0" xr:uid="{DEDDF267-4091-4236-BB44-05EB9E36B827}">
      <text>
        <r>
          <rPr>
            <b/>
            <sz val="8"/>
            <rFont val="Tahoma"/>
            <family val="2"/>
          </rPr>
          <t>An equivalent measure of one tonne of transported goods over one km</t>
        </r>
      </text>
    </comment>
    <comment ref="EQ82" authorId="0" shapeId="0" xr:uid="{709B99EE-B299-4EFD-AACF-59C3ADFD903D}">
      <text>
        <r>
          <rPr>
            <b/>
            <sz val="8"/>
            <rFont val="Tahoma"/>
            <family val="2"/>
          </rPr>
          <t>Long-haul international flights to/from the UK, typically to non-European destinations (over 3700km distance).</t>
        </r>
      </text>
    </comment>
    <comment ref="ER82" authorId="0" shapeId="0" xr:uid="{34EFEB42-87C5-46E7-AF8E-DE73FCBED2B3}">
      <text>
        <r>
          <rPr>
            <b/>
            <sz val="8"/>
            <rFont val="Tahoma"/>
            <family val="2"/>
          </rPr>
          <t>An equivalent measure of one tonne of transported goods over one km.</t>
        </r>
      </text>
    </comment>
    <comment ref="EQ83" authorId="0" shapeId="0" xr:uid="{EFC515BC-59F1-470E-818C-15E327C6C1BC}">
      <text>
        <r>
          <rPr>
            <b/>
            <sz val="8"/>
            <rFont val="Tahoma"/>
            <family val="2"/>
          </rPr>
          <t>International flights to/from non-UK countries.</t>
        </r>
      </text>
    </comment>
    <comment ref="ER83" authorId="0" shapeId="0" xr:uid="{FEF429D7-210D-4B73-99CC-AE91EBD3FBD1}">
      <text>
        <r>
          <rPr>
            <b/>
            <sz val="8"/>
            <rFont val="Tahoma"/>
            <family val="2"/>
          </rPr>
          <t>An equivalent measure of one tonne of transported goods over one km.</t>
        </r>
      </text>
    </comment>
    <comment ref="K85" authorId="0" shapeId="0" xr:uid="{993D28DC-6E1C-4021-870A-9CE3EE37B2BB}">
      <text>
        <r>
          <rPr>
            <b/>
            <sz val="8"/>
            <rFont val="Tahoma"/>
            <family val="2"/>
          </rPr>
          <t>Waste oils meeting the 'residual' oil definition contained in the 'Processed Fuel Oil Quality Protocol'.</t>
        </r>
      </text>
    </comment>
    <comment ref="DR85" authorId="0" shapeId="0" xr:uid="{596F0E2F-7613-4C53-8492-E7675A968FEC}">
      <text>
        <r>
          <rPr>
            <b/>
            <sz val="8"/>
            <rFont val="Tahoma"/>
            <family val="2"/>
          </rPr>
          <t>kg CO₂e per unit</t>
        </r>
      </text>
    </comment>
    <comment ref="ES87" authorId="0" shapeId="0" xr:uid="{A240FB38-294C-4F43-8D93-698175C97B47}">
      <text>
        <r>
          <rPr>
            <b/>
            <sz val="8"/>
            <rFont val="Tahoma"/>
            <family val="2"/>
          </rPr>
          <t>kg CO₂e per unit</t>
        </r>
      </text>
    </comment>
    <comment ref="ET87" authorId="0" shapeId="0" xr:uid="{C68CDF69-0CAB-4D64-8121-51C47073C7C0}">
      <text>
        <r>
          <rPr>
            <b/>
            <sz val="8"/>
            <rFont val="Tahoma"/>
            <family val="2"/>
          </rPr>
          <t>kg CO₂e of CO₂ per unit</t>
        </r>
      </text>
    </comment>
    <comment ref="EU87" authorId="0" shapeId="0" xr:uid="{F4364A89-C2E2-4E1A-BE21-B2185FDDEB65}">
      <text>
        <r>
          <rPr>
            <b/>
            <sz val="8"/>
            <rFont val="Tahoma"/>
            <family val="2"/>
          </rPr>
          <t>kg CO₂e of CH₄ per unit</t>
        </r>
      </text>
    </comment>
    <comment ref="EV87" authorId="0" shapeId="0" xr:uid="{79B29501-1E88-4A80-AD92-02A6D8748952}">
      <text>
        <r>
          <rPr>
            <b/>
            <sz val="8"/>
            <rFont val="Tahoma"/>
            <family val="2"/>
          </rPr>
          <t>kg CO₂e of N₂O per unit</t>
        </r>
      </text>
    </comment>
    <comment ref="ER88" authorId="0" shapeId="0" xr:uid="{9EB7F9F9-1CD4-477C-93E9-E81E0946728B}">
      <text>
        <r>
          <rPr>
            <b/>
            <sz val="8"/>
            <rFont val="Tahoma"/>
            <family val="2"/>
          </rPr>
          <t>An equivalent measure of one tonne of transported goods over one km.</t>
        </r>
      </text>
    </comment>
    <comment ref="K89" authorId="0" shapeId="0" xr:uid="{DE968A14-C253-4CBC-A4AD-D8F896F08DF2}">
      <text>
        <r>
          <rPr>
            <b/>
            <sz val="8"/>
            <rFont val="Tahoma"/>
            <family val="2"/>
          </rPr>
          <t>Waste oils meeting the 'distillate' oil definition contained in the 'Processed Fuel Oil Quality Protocol'.</t>
        </r>
      </text>
    </comment>
    <comment ref="ET92" authorId="0" shapeId="0" xr:uid="{7F1D3E26-2C34-4089-B2DF-EA43FA150FD2}">
      <text>
        <r>
          <rPr>
            <b/>
            <sz val="8"/>
            <rFont val="Tahoma"/>
            <family val="2"/>
          </rPr>
          <t>kg CO₂e per unit</t>
        </r>
      </text>
    </comment>
    <comment ref="EU92" authorId="0" shapeId="0" xr:uid="{8689F7EC-4CE9-4DEF-8D19-FC62AF870293}">
      <text>
        <r>
          <rPr>
            <b/>
            <sz val="8"/>
            <rFont val="Tahoma"/>
            <family val="2"/>
          </rPr>
          <t>kg CO₂e of CO₂ per unit</t>
        </r>
      </text>
    </comment>
    <comment ref="EV92" authorId="0" shapeId="0" xr:uid="{43FF3C63-F7AE-4773-A61B-4F58E3F0B1ED}">
      <text>
        <r>
          <rPr>
            <b/>
            <sz val="8"/>
            <rFont val="Tahoma"/>
            <family val="2"/>
          </rPr>
          <t>kg CO₂e of CH₄ per unit</t>
        </r>
      </text>
    </comment>
    <comment ref="EW92" authorId="0" shapeId="0" xr:uid="{0F8F4397-B5A3-445C-8E8C-EA2C200112D6}">
      <text>
        <r>
          <rPr>
            <b/>
            <sz val="8"/>
            <rFont val="Tahoma"/>
            <family val="2"/>
          </rPr>
          <t>kg CO₂e of N₂O per unit</t>
        </r>
      </text>
    </comment>
    <comment ref="K93" authorId="4" shapeId="0" xr:uid="{8FBED33B-C19D-472F-80AE-864027BF3FD0}">
      <text>
        <r>
          <rPr>
            <b/>
            <sz val="8"/>
            <color indexed="81"/>
            <rFont val="Tahoma"/>
            <family val="2"/>
          </rPr>
          <t>Includes aromatic extracts, defoaming solvents and other minor miscellaneous products</t>
        </r>
        <r>
          <rPr>
            <sz val="9"/>
            <color indexed="81"/>
            <rFont val="Tahoma"/>
            <family val="2"/>
          </rPr>
          <t xml:space="preserve">
</t>
        </r>
      </text>
    </comment>
    <comment ref="DK93" authorId="0" shapeId="0" xr:uid="{B44AFDF2-BD77-4C68-A6C7-1C46A8995E3D}">
      <text>
        <r>
          <rPr>
            <b/>
            <sz val="8"/>
            <rFont val="Tahoma"/>
            <family val="2"/>
          </rPr>
          <t>Blends of gases covered under the Montreal protocol.</t>
        </r>
      </text>
    </comment>
    <comment ref="ES93" authorId="0" shapeId="0" xr:uid="{D7D97ECB-0712-4A7A-ACCE-45D72D27E0F0}">
      <text>
        <r>
          <rPr>
            <b/>
            <sz val="8"/>
            <rFont val="Tahoma"/>
            <family val="2"/>
          </rPr>
          <t>An equivalent measure of one tonne of transported goods over one km.</t>
        </r>
      </text>
    </comment>
    <comment ref="ES94" authorId="0" shapeId="0" xr:uid="{231EC88D-47DE-45CE-9C29-333672343133}">
      <text>
        <r>
          <rPr>
            <b/>
            <sz val="8"/>
            <rFont val="Tahoma"/>
            <family val="2"/>
          </rPr>
          <t>An equivalent measure of one tonne of transported goods over one km.</t>
        </r>
      </text>
    </comment>
    <comment ref="ES95" authorId="0" shapeId="0" xr:uid="{4F3C3514-546C-4C6F-9D8C-BEEB07C05ADA}">
      <text>
        <r>
          <rPr>
            <b/>
            <sz val="8"/>
            <rFont val="Tahoma"/>
            <family val="2"/>
          </rPr>
          <t>An equivalent measure of one tonne of transported goods over one km.</t>
        </r>
      </text>
    </comment>
    <comment ref="ES96" authorId="0" shapeId="0" xr:uid="{F7AF40AC-221A-4BA8-A15F-240CCCFD90D1}">
      <text>
        <r>
          <rPr>
            <b/>
            <sz val="8"/>
            <rFont val="Tahoma"/>
            <family val="2"/>
          </rPr>
          <t>An equivalent measure of one tonne of transported goods over one km.</t>
        </r>
      </text>
    </comment>
    <comment ref="K97" authorId="0" shapeId="0" xr:uid="{C01F29C9-8071-4261-B0A2-76C1DEAF9679}">
      <text>
        <r>
          <rPr>
            <b/>
            <sz val="8"/>
            <rFont val="Tahoma"/>
            <family val="2"/>
          </rPr>
          <t>Recycled oils outside of the 'Processed Fuel Oil Quality Protocol' definitions.</t>
        </r>
      </text>
    </comment>
    <comment ref="ES97" authorId="0" shapeId="0" xr:uid="{FCDDD1F7-88F6-4426-AAC7-2624E935107B}">
      <text>
        <r>
          <rPr>
            <b/>
            <sz val="8"/>
            <rFont val="Tahoma"/>
            <family val="2"/>
          </rPr>
          <t>An equivalent measure of one tonne of transported goods over one km.</t>
        </r>
      </text>
    </comment>
    <comment ref="ES98" authorId="0" shapeId="0" xr:uid="{196CF39A-32DC-488C-9EC7-4331A2FF4061}">
      <text>
        <r>
          <rPr>
            <b/>
            <sz val="8"/>
            <rFont val="Tahoma"/>
            <family val="2"/>
          </rPr>
          <t>An equivalent measure of one tonne of transported goods over one km.</t>
        </r>
      </text>
    </comment>
    <comment ref="ES99" authorId="0" shapeId="0" xr:uid="{F3037703-38EF-466C-B21F-DC50DB18C69A}">
      <text>
        <r>
          <rPr>
            <b/>
            <sz val="8"/>
            <rFont val="Tahoma"/>
            <family val="2"/>
          </rPr>
          <t>An equivalent measure of one tonne of transported goods over one km.</t>
        </r>
      </text>
    </comment>
    <comment ref="ES100" authorId="0" shapeId="0" xr:uid="{AB642F5C-5E70-49D6-9B15-E2BC2D2E4E9E}">
      <text>
        <r>
          <rPr>
            <b/>
            <sz val="8"/>
            <rFont val="Tahoma"/>
            <family val="2"/>
          </rPr>
          <t>An equivalent measure of one tonne of transported goods over one km.</t>
        </r>
      </text>
    </comment>
    <comment ref="K101" authorId="0" shapeId="0" xr:uid="{08DF8BE3-4A0B-4D5D-A500-71F069058A92}">
      <text>
        <r>
          <rPr>
            <b/>
            <sz val="8"/>
            <rFont val="Tahoma"/>
            <family val="2"/>
          </rPr>
          <t>Distillate fuels are commonly called "Marine gas oil". Distillate fuel is composed of petroleum fractions of crude oil that are separated in a refinery by a boiling or "distillation" process.</t>
        </r>
      </text>
    </comment>
    <comment ref="ES101" authorId="0" shapeId="0" xr:uid="{F9F824B5-B087-4031-B796-DE8E91FC7401}">
      <text>
        <r>
          <rPr>
            <b/>
            <sz val="8"/>
            <rFont val="Tahoma"/>
            <family val="2"/>
          </rPr>
          <t>An equivalent measure of one tonne of transported goods over one km.</t>
        </r>
      </text>
    </comment>
    <comment ref="ES102" authorId="0" shapeId="0" xr:uid="{DDFA76B1-303C-439B-8E61-A976AABD67EE}">
      <text>
        <r>
          <rPr>
            <b/>
            <sz val="8"/>
            <rFont val="Tahoma"/>
            <family val="2"/>
          </rPr>
          <t>An equivalent measure of one tonne of transported goods over one km.</t>
        </r>
      </text>
    </comment>
    <comment ref="ES103" authorId="0" shapeId="0" xr:uid="{6BAA520A-EF3E-4A27-B017-D652B8863DB5}">
      <text>
        <r>
          <rPr>
            <b/>
            <sz val="8"/>
            <rFont val="Tahoma"/>
            <family val="2"/>
          </rPr>
          <t>An equivalent measure of one tonne of transported goods over one km.</t>
        </r>
      </text>
    </comment>
    <comment ref="DR104" authorId="0" shapeId="0" xr:uid="{CB3D19D2-7B84-40B1-A592-96765AE3462C}">
      <text>
        <r>
          <rPr>
            <b/>
            <sz val="8"/>
            <rFont val="Tahoma"/>
            <family val="2"/>
          </rPr>
          <t>kg CO₂e per unit</t>
        </r>
      </text>
    </comment>
    <comment ref="ES104" authorId="0" shapeId="0" xr:uid="{25FCD121-104C-420E-9E4D-19DB79BEC535}">
      <text>
        <r>
          <rPr>
            <b/>
            <sz val="8"/>
            <rFont val="Tahoma"/>
            <family val="2"/>
          </rPr>
          <t>An equivalent measure of one tonne of transported goods over one km.</t>
        </r>
      </text>
    </comment>
    <comment ref="K105" authorId="0" shapeId="0" xr:uid="{40BA92FC-B478-4F50-A15E-A2D5649D3057}">
      <text>
        <r>
          <rPr>
            <b/>
            <sz val="8"/>
            <rFont val="Tahoma"/>
            <family val="2"/>
          </rPr>
          <t>Residual fuels are called "Marine fuel oil". Residual fuel or "residuum" is the fraction that did not boil, sometimes referred to as "tar" or "petroleum pitch".</t>
        </r>
      </text>
    </comment>
    <comment ref="ES105" authorId="0" shapeId="0" xr:uid="{9B636570-337D-4D32-AC94-368806993C80}">
      <text>
        <r>
          <rPr>
            <b/>
            <sz val="8"/>
            <rFont val="Tahoma"/>
            <family val="2"/>
          </rPr>
          <t>An equivalent measure of one tonne of transported goods over one km.</t>
        </r>
      </text>
    </comment>
    <comment ref="E106" authorId="2" shapeId="0" xr:uid="{2121E6B0-3D7C-4EBB-A933-D6A2E430D7A6}">
      <text>
        <r>
          <rPr>
            <b/>
            <sz val="9"/>
            <color indexed="81"/>
            <rFont val="Tahoma"/>
            <family val="2"/>
          </rPr>
          <t>jerome baddley:</t>
        </r>
        <r>
          <rPr>
            <sz val="9"/>
            <color indexed="81"/>
            <rFont val="Tahoma"/>
            <family val="2"/>
          </rPr>
          <t xml:space="preserve">
Assumes Biodiesel (ME)</t>
        </r>
      </text>
    </comment>
    <comment ref="ES106" authorId="0" shapeId="0" xr:uid="{09B00A65-6E41-4980-BC66-F470F80E25B0}">
      <text>
        <r>
          <rPr>
            <b/>
            <sz val="8"/>
            <rFont val="Tahoma"/>
            <family val="2"/>
          </rPr>
          <t>An equivalent measure of one tonne of transported goods over one km.</t>
        </r>
      </text>
    </comment>
    <comment ref="ES107" authorId="0" shapeId="0" xr:uid="{8E933571-1E2E-4B6E-8CEE-21D64FCF4BBC}">
      <text>
        <r>
          <rPr>
            <b/>
            <sz val="8"/>
            <rFont val="Tahoma"/>
            <family val="2"/>
          </rPr>
          <t>An equivalent measure of one tonne of transported goods over one km.</t>
        </r>
      </text>
    </comment>
    <comment ref="ES108" authorId="0" shapeId="0" xr:uid="{3B7D6FB2-1168-445D-8EBF-703E4F153782}">
      <text>
        <r>
          <rPr>
            <b/>
            <sz val="8"/>
            <rFont val="Tahoma"/>
            <family val="2"/>
          </rPr>
          <t>An equivalent measure of one tonne of transported goods over one km.</t>
        </r>
      </text>
    </comment>
    <comment ref="ES109" authorId="0" shapeId="0" xr:uid="{FAA70DA7-396B-40B8-8089-F3E1081698A7}">
      <text>
        <r>
          <rPr>
            <b/>
            <sz val="8"/>
            <rFont val="Tahoma"/>
            <family val="2"/>
          </rPr>
          <t>An equivalent measure of one tonne of transported goods over one km.</t>
        </r>
      </text>
    </comment>
    <comment ref="ES110" authorId="0" shapeId="0" xr:uid="{2DB16744-FA49-49E4-B4C2-20FD74FF2243}">
      <text>
        <r>
          <rPr>
            <b/>
            <sz val="8"/>
            <rFont val="Tahoma"/>
            <family val="2"/>
          </rPr>
          <t>An equivalent measure of one tonne of transported goods over one km.</t>
        </r>
      </text>
    </comment>
    <comment ref="M111" authorId="0" shapeId="0" xr:uid="{6ADD8DE2-A410-47BB-9746-350A5F86C247}">
      <text>
        <r>
          <rPr>
            <b/>
            <sz val="8"/>
            <rFont val="Tahoma"/>
            <family val="2"/>
          </rPr>
          <t>kg CO₂e per unit</t>
        </r>
      </text>
    </comment>
    <comment ref="N111" authorId="0" shapeId="0" xr:uid="{8F6C211C-47C8-460D-BB47-4EA3B603765C}">
      <text>
        <r>
          <rPr>
            <b/>
            <sz val="8"/>
            <rFont val="Tahoma"/>
            <family val="2"/>
          </rPr>
          <t>kg CO₂e of CO₂ per unit</t>
        </r>
      </text>
    </comment>
    <comment ref="O111" authorId="0" shapeId="0" xr:uid="{2FCA6A05-EFD7-42B9-9BF5-66050B73FB2B}">
      <text>
        <r>
          <rPr>
            <b/>
            <sz val="8"/>
            <rFont val="Tahoma"/>
            <family val="2"/>
          </rPr>
          <t>kg CO₂e of CH₄ per unit</t>
        </r>
      </text>
    </comment>
    <comment ref="P111" authorId="0" shapeId="0" xr:uid="{4C6551F9-5E7D-4179-8111-5211A7EB8B70}">
      <text>
        <r>
          <rPr>
            <b/>
            <sz val="8"/>
            <rFont val="Tahoma"/>
            <family val="2"/>
          </rPr>
          <t>kg CO₂e of N₂O per unit</t>
        </r>
      </text>
    </comment>
    <comment ref="ES111" authorId="0" shapeId="0" xr:uid="{45ABD930-40E8-4F36-A1BA-EC6A57E1B805}">
      <text>
        <r>
          <rPr>
            <b/>
            <sz val="8"/>
            <rFont val="Tahoma"/>
            <family val="2"/>
          </rPr>
          <t>An equivalent measure of one tonne of transported goods over one km.</t>
        </r>
      </text>
    </comment>
    <comment ref="K112" authorId="0" shapeId="0" xr:uid="{981E7FD1-8933-4EF0-8ADD-0DA579084028}">
      <text>
        <r>
          <rPr>
            <b/>
            <sz val="8"/>
            <rFont val="Tahoma"/>
            <family val="2"/>
          </rPr>
          <t>Coal used in sources other than power stations and domestic use.</t>
        </r>
      </text>
    </comment>
    <comment ref="ES112" authorId="0" shapeId="0" xr:uid="{41C9B70A-A788-4FB3-B66F-93986CC1F8A3}">
      <text>
        <r>
          <rPr>
            <b/>
            <sz val="8"/>
            <rFont val="Tahoma"/>
            <family val="2"/>
          </rPr>
          <t>An equivalent measure of one tonne of transported goods over one km.</t>
        </r>
      </text>
    </comment>
    <comment ref="ES113" authorId="0" shapeId="0" xr:uid="{82C555EA-BF2B-46BD-9C34-3B800E5182DA}">
      <text>
        <r>
          <rPr>
            <b/>
            <sz val="8"/>
            <rFont val="Tahoma"/>
            <family val="2"/>
          </rPr>
          <t>An equivalent measure of one tonne of transported goods over one km.</t>
        </r>
      </text>
    </comment>
    <comment ref="ES114" authorId="0" shapeId="0" xr:uid="{DA0206FD-FEC0-48C1-8DA8-7524E7E61335}">
      <text>
        <r>
          <rPr>
            <b/>
            <sz val="8"/>
            <rFont val="Tahoma"/>
            <family val="2"/>
          </rPr>
          <t>An equivalent measure of one tonne of transported goods over one km.</t>
        </r>
      </text>
    </comment>
    <comment ref="K115" authorId="0" shapeId="0" xr:uid="{05260E45-D5AE-41EB-8348-CED3C4BD2BD2}">
      <text>
        <r>
          <rPr>
            <b/>
            <sz val="8"/>
            <rFont val="Tahoma"/>
            <family val="2"/>
          </rPr>
          <t>Coal used in power stations to generate electricity.</t>
        </r>
      </text>
    </comment>
    <comment ref="ES115" authorId="0" shapeId="0" xr:uid="{AA7B42EA-65F9-4443-8BE9-D51099DF5B1E}">
      <text>
        <r>
          <rPr>
            <b/>
            <sz val="8"/>
            <rFont val="Tahoma"/>
            <family val="2"/>
          </rPr>
          <t>An equivalent measure of one tonne of transported goods over one km.</t>
        </r>
      </text>
    </comment>
    <comment ref="DR116" authorId="0" shapeId="0" xr:uid="{459FC505-1360-470E-B6A1-AE248B36D00A}">
      <text>
        <r>
          <rPr>
            <b/>
            <sz val="8"/>
            <rFont val="Tahoma"/>
            <family val="2"/>
          </rPr>
          <t>kg CO₂e per unit</t>
        </r>
      </text>
    </comment>
    <comment ref="ES116" authorId="0" shapeId="0" xr:uid="{613ADA51-AC27-42B9-AC91-3AA64ED28C75}">
      <text>
        <r>
          <rPr>
            <b/>
            <sz val="8"/>
            <rFont val="Tahoma"/>
            <family val="2"/>
          </rPr>
          <t>An equivalent measure of one tonne of transported goods over one km.</t>
        </r>
      </text>
    </comment>
    <comment ref="DO117" authorId="0" shapeId="0" xr:uid="{3D239301-38A8-4A1C-BA05-A5EA8E20E05F}">
      <text>
        <r>
          <rPr>
            <b/>
            <sz val="8"/>
            <rFont val="Tahoma"/>
            <family val="2"/>
          </rPr>
          <t>Blends of gases covered under the Montreal protocol.</t>
        </r>
      </text>
    </comment>
    <comment ref="K118" authorId="0" shapeId="0" xr:uid="{68478888-79DC-4645-B28D-27B322740EBC}">
      <text>
        <r>
          <rPr>
            <b/>
            <sz val="8"/>
            <rFont val="Tahoma"/>
            <family val="2"/>
          </rPr>
          <t>Coal used domestically.</t>
        </r>
      </text>
    </comment>
    <comment ref="ET120" authorId="0" shapeId="0" xr:uid="{B0A007C5-0828-4649-BB30-C058136C52D9}">
      <text>
        <r>
          <rPr>
            <b/>
            <sz val="8"/>
            <rFont val="Tahoma"/>
            <family val="2"/>
          </rPr>
          <t>kg CO₂e per unit</t>
        </r>
      </text>
    </comment>
    <comment ref="EU120" authorId="0" shapeId="0" xr:uid="{5308D0DB-90BF-45B9-BC9F-2C6D65D2593D}">
      <text>
        <r>
          <rPr>
            <b/>
            <sz val="8"/>
            <rFont val="Tahoma"/>
            <family val="2"/>
          </rPr>
          <t>kg CO₂e of CO₂ per unit</t>
        </r>
      </text>
    </comment>
    <comment ref="EV120" authorId="0" shapeId="0" xr:uid="{1515E418-D0FB-4C69-8D1B-A0D9A4144D96}">
      <text>
        <r>
          <rPr>
            <b/>
            <sz val="8"/>
            <rFont val="Tahoma"/>
            <family val="2"/>
          </rPr>
          <t>kg CO₂e of CH₄ per unit</t>
        </r>
      </text>
    </comment>
    <comment ref="EW120" authorId="0" shapeId="0" xr:uid="{4E763FE1-81E0-4D65-B15D-25373A06BD25}">
      <text>
        <r>
          <rPr>
            <b/>
            <sz val="8"/>
            <rFont val="Tahoma"/>
            <family val="2"/>
          </rPr>
          <t>kg CO₂e of N₂O per unit</t>
        </r>
      </text>
    </comment>
    <comment ref="ES121" authorId="0" shapeId="0" xr:uid="{F9D68CCF-AF69-4DF8-99A0-588996E5CC10}">
      <text>
        <r>
          <rPr>
            <b/>
            <sz val="8"/>
            <rFont val="Tahoma"/>
            <family val="2"/>
          </rPr>
          <t>An equivalent measure of one tonne of transported goods over one km.</t>
        </r>
      </text>
    </comment>
    <comment ref="ES122" authorId="0" shapeId="0" xr:uid="{15AE7012-4EC5-456F-B537-5D016994550C}">
      <text>
        <r>
          <rPr>
            <b/>
            <sz val="8"/>
            <rFont val="Tahoma"/>
            <family val="2"/>
          </rPr>
          <t>An equivalent measure of one tonne of transported goods over one km.</t>
        </r>
      </text>
    </comment>
    <comment ref="ES123" authorId="0" shapeId="0" xr:uid="{2312AB11-BC9F-433E-9625-27F41E989365}">
      <text>
        <r>
          <rPr>
            <b/>
            <sz val="8"/>
            <rFont val="Tahoma"/>
            <family val="2"/>
          </rPr>
          <t>An equivalent measure of one tonne of transported goods over one km.</t>
        </r>
      </text>
    </comment>
    <comment ref="ES124" authorId="0" shapeId="0" xr:uid="{136E5536-DD7C-4A6A-B1D4-37A1375BB445}">
      <text>
        <r>
          <rPr>
            <b/>
            <sz val="8"/>
            <rFont val="Tahoma"/>
            <family val="2"/>
          </rPr>
          <t>An equivalent measure of one tonne of transported goods over one km.</t>
        </r>
      </text>
    </comment>
    <comment ref="ES125" authorId="0" shapeId="0" xr:uid="{D9DB6559-AEC0-47C6-A9B1-41EDB8E9867C}">
      <text>
        <r>
          <rPr>
            <b/>
            <sz val="8"/>
            <rFont val="Tahoma"/>
            <family val="2"/>
          </rPr>
          <t>An equivalent measure of one tonne of transported goods over one km.</t>
        </r>
      </text>
    </comment>
    <comment ref="K126" authorId="0" shapeId="0" xr:uid="{F8329FD8-A3C7-42D6-AD79-2C200E91A23B}">
      <text>
        <r>
          <rPr>
            <b/>
            <sz val="8"/>
            <rFont val="Tahoma"/>
            <family val="2"/>
          </rPr>
          <t>Coke may be used as a heating fuel and as a reducing agent in a blast furnace.</t>
        </r>
      </text>
    </comment>
    <comment ref="ES126" authorId="0" shapeId="0" xr:uid="{BB190FAC-3A1B-4385-BD49-77886509A089}">
      <text>
        <r>
          <rPr>
            <b/>
            <sz val="8"/>
            <rFont val="Tahoma"/>
            <family val="2"/>
          </rPr>
          <t>An equivalent measure of one tonne of transported goods over one km.</t>
        </r>
      </text>
    </comment>
    <comment ref="ES127" authorId="0" shapeId="0" xr:uid="{E5676022-2561-4204-805F-A1FDDCA6287F}">
      <text>
        <r>
          <rPr>
            <b/>
            <sz val="8"/>
            <rFont val="Tahoma"/>
            <family val="2"/>
          </rPr>
          <t>An equivalent measure of one tonne of transported goods over one km.</t>
        </r>
      </text>
    </comment>
    <comment ref="ES128" authorId="0" shapeId="0" xr:uid="{5D4F7A29-5C22-431E-BAF0-774A9154E363}">
      <text>
        <r>
          <rPr>
            <b/>
            <sz val="8"/>
            <rFont val="Tahoma"/>
            <family val="2"/>
          </rPr>
          <t>An equivalent measure of one tonne of transported goods over one km.</t>
        </r>
      </text>
    </comment>
    <comment ref="ES129" authorId="0" shapeId="0" xr:uid="{31028ED3-C163-47F3-A62F-5665C288ECFF}">
      <text>
        <r>
          <rPr>
            <b/>
            <sz val="8"/>
            <rFont val="Tahoma"/>
            <family val="2"/>
          </rPr>
          <t>An equivalent measure of one tonne of transported goods over one km.</t>
        </r>
      </text>
    </comment>
    <comment ref="ES130" authorId="0" shapeId="0" xr:uid="{9951039D-6362-4ADE-8672-361F1EA59947}">
      <text>
        <r>
          <rPr>
            <b/>
            <sz val="8"/>
            <rFont val="Tahoma"/>
            <family val="2"/>
          </rPr>
          <t>An equivalent measure of one tonne of transported goods over one km.</t>
        </r>
      </text>
    </comment>
    <comment ref="ES131" authorId="0" shapeId="0" xr:uid="{528F7F16-632C-4DE3-9341-84DE2963E64B}">
      <text>
        <r>
          <rPr>
            <b/>
            <sz val="8"/>
            <rFont val="Tahoma"/>
            <family val="2"/>
          </rPr>
          <t>An equivalent measure of one tonne of transported goods over one km.</t>
        </r>
      </text>
    </comment>
    <comment ref="ES132" authorId="0" shapeId="0" xr:uid="{F469E5B2-3F4B-4378-9716-2D787F3A0C43}">
      <text>
        <r>
          <rPr>
            <b/>
            <sz val="8"/>
            <rFont val="Tahoma"/>
            <family val="2"/>
          </rPr>
          <t>An equivalent measure of one tonne of transported goods over one km.</t>
        </r>
      </text>
    </comment>
    <comment ref="ES133" authorId="0" shapeId="0" xr:uid="{107B3AEC-5E4D-4E81-899A-A9ED0D581691}">
      <text>
        <r>
          <rPr>
            <b/>
            <sz val="8"/>
            <rFont val="Tahoma"/>
            <family val="2"/>
          </rPr>
          <t>An equivalent measure of one tonne of transported goods over one km.</t>
        </r>
      </text>
    </comment>
    <comment ref="ES134" authorId="0" shapeId="0" xr:uid="{DD32C849-620F-422F-AF3D-513FF9310ED0}">
      <text>
        <r>
          <rPr>
            <b/>
            <sz val="8"/>
            <rFont val="Tahoma"/>
            <family val="2"/>
          </rPr>
          <t>An equivalent measure of one tonne of transported goods over one km.</t>
        </r>
      </text>
    </comment>
    <comment ref="ES135" authorId="0" shapeId="0" xr:uid="{2CBC8F11-6130-4714-AFA0-EB7DDD867E23}">
      <text>
        <r>
          <rPr>
            <b/>
            <sz val="8"/>
            <rFont val="Tahoma"/>
            <family val="2"/>
          </rPr>
          <t>An equivalent measure of one tonne of transported goods over one km.</t>
        </r>
      </text>
    </comment>
    <comment ref="ES136" authorId="0" shapeId="0" xr:uid="{14CBE5EA-B4B8-4BA1-9796-A7BB8F4FC779}">
      <text>
        <r>
          <rPr>
            <b/>
            <sz val="8"/>
            <rFont val="Tahoma"/>
            <family val="2"/>
          </rPr>
          <t>An equivalent measure of one tonne of transported goods over one km.</t>
        </r>
      </text>
    </comment>
    <comment ref="ES137" authorId="0" shapeId="0" xr:uid="{DEAC6D13-8275-4A07-83DB-6C2E07929013}">
      <text>
        <r>
          <rPr>
            <b/>
            <sz val="8"/>
            <rFont val="Tahoma"/>
            <family val="2"/>
          </rPr>
          <t>An equivalent measure of one tonne of transported goods over one km.</t>
        </r>
      </text>
    </comment>
    <comment ref="ES138" authorId="0" shapeId="0" xr:uid="{5E4EDEB9-8506-4FF8-B64D-80EC821FFA9B}">
      <text>
        <r>
          <rPr>
            <b/>
            <sz val="8"/>
            <rFont val="Tahoma"/>
            <family val="2"/>
          </rPr>
          <t>An equivalent measure of one tonne of transported goods over one km.</t>
        </r>
      </text>
    </comment>
    <comment ref="K139" authorId="0" shapeId="0" xr:uid="{52739473-E650-4492-BE92-B4E2ED9EA62C}">
      <text>
        <r>
          <rPr>
            <b/>
            <sz val="8"/>
            <rFont val="Tahoma"/>
            <family val="2"/>
          </rPr>
          <t>Normally used in cement manufacture and power plants.</t>
        </r>
      </text>
    </comment>
    <comment ref="ES139" authorId="0" shapeId="0" xr:uid="{26A6AED5-B90E-47D9-AA19-FEF0D6CF076E}">
      <text>
        <r>
          <rPr>
            <b/>
            <sz val="8"/>
            <rFont val="Tahoma"/>
            <family val="2"/>
          </rPr>
          <t>An equivalent measure of one tonne of transported goods over one km.</t>
        </r>
      </text>
    </comment>
    <comment ref="ES140" authorId="0" shapeId="0" xr:uid="{C76001C7-7559-491E-B379-A5AA136B89DE}">
      <text>
        <r>
          <rPr>
            <b/>
            <sz val="8"/>
            <rFont val="Tahoma"/>
            <family val="2"/>
          </rPr>
          <t>An equivalent measure of one tonne of transported goods over one km.</t>
        </r>
      </text>
    </comment>
    <comment ref="ES141" authorId="0" shapeId="0" xr:uid="{872C011C-FFB1-4BC8-8F3F-46BE71A71CF0}">
      <text>
        <r>
          <rPr>
            <b/>
            <sz val="8"/>
            <rFont val="Tahoma"/>
            <family val="2"/>
          </rPr>
          <t>An equivalent measure of one tonne of transported goods over one km.</t>
        </r>
      </text>
    </comment>
    <comment ref="K142" authorId="0" shapeId="0" xr:uid="{3F4E62DD-2DB0-411C-8001-0D635B5590B1}">
      <text>
        <r>
          <rPr>
            <b/>
            <sz val="8"/>
            <rFont val="Tahoma"/>
            <family val="2"/>
          </rPr>
          <t>Coal used in power stations to generate electricity (only for coal produced in the UK).</t>
        </r>
      </text>
    </comment>
    <comment ref="ES142" authorId="0" shapeId="0" xr:uid="{0985D9AE-426B-4DE9-B2A6-8879FF76C8A8}">
      <text>
        <r>
          <rPr>
            <b/>
            <sz val="8"/>
            <rFont val="Tahoma"/>
            <family val="2"/>
          </rPr>
          <t>An equivalent measure of one tonne of transported goods over one km.</t>
        </r>
      </text>
    </comment>
    <comment ref="ES143" authorId="0" shapeId="0" xr:uid="{377D2A0C-5A2C-406B-9F16-6E7991E22E3E}">
      <text>
        <r>
          <rPr>
            <b/>
            <sz val="8"/>
            <rFont val="Tahoma"/>
            <family val="2"/>
          </rPr>
          <t>An equivalent measure of one tonne of transported goods over one km.</t>
        </r>
      </text>
    </comment>
    <comment ref="ES144" authorId="0" shapeId="0" xr:uid="{B68BAD7B-C92C-4F3B-827A-739071DBEAA2}">
      <text>
        <r>
          <rPr>
            <b/>
            <sz val="8"/>
            <rFont val="Tahoma"/>
            <family val="2"/>
          </rPr>
          <t>An equivalent measure of one tonne of transported goods over one km.</t>
        </r>
      </text>
    </comment>
    <comment ref="ES145" authorId="0" shapeId="0" xr:uid="{F209E6F2-B019-49B6-98B8-2DCC8B723240}">
      <text>
        <r>
          <rPr>
            <b/>
            <sz val="8"/>
            <rFont val="Tahoma"/>
            <family val="2"/>
          </rPr>
          <t>An equivalent measure of one tonne of transported goods over one km.</t>
        </r>
      </text>
    </comment>
    <comment ref="M146" authorId="0" shapeId="0" xr:uid="{AA054EE4-726F-4473-BD6C-4DF51AF424B9}">
      <text>
        <r>
          <rPr>
            <b/>
            <sz val="8"/>
            <rFont val="Tahoma"/>
            <family val="2"/>
          </rPr>
          <t>kg CO₂e per unit</t>
        </r>
      </text>
    </comment>
    <comment ref="N146" authorId="0" shapeId="0" xr:uid="{14D1FD8F-EAF0-4F19-8201-6059EA920A93}">
      <text>
        <r>
          <rPr>
            <b/>
            <sz val="8"/>
            <rFont val="Tahoma"/>
            <family val="2"/>
          </rPr>
          <t>kg CO₂e of CO₂ per unit</t>
        </r>
      </text>
    </comment>
    <comment ref="O146" authorId="0" shapeId="0" xr:uid="{E8C86BAF-3D65-4A88-8665-5CD0420A709A}">
      <text>
        <r>
          <rPr>
            <b/>
            <sz val="8"/>
            <rFont val="Tahoma"/>
            <family val="2"/>
          </rPr>
          <t>kg CO₂e of CH₄ per unit</t>
        </r>
      </text>
    </comment>
    <comment ref="P146" authorId="0" shapeId="0" xr:uid="{6ADE0C18-81DD-4191-B510-A540A9DF5F22}">
      <text>
        <r>
          <rPr>
            <b/>
            <sz val="8"/>
            <rFont val="Tahoma"/>
            <family val="2"/>
          </rPr>
          <t>kg CO₂e of N₂O per unit</t>
        </r>
      </text>
    </comment>
    <comment ref="ES146" authorId="0" shapeId="0" xr:uid="{EC8E4992-C468-4870-AA6A-1057CC8C7DD8}">
      <text>
        <r>
          <rPr>
            <b/>
            <sz val="8"/>
            <rFont val="Tahoma"/>
            <family val="2"/>
          </rPr>
          <t>An equivalent measure of one tonne of transported goods over one km.</t>
        </r>
      </text>
    </comment>
    <comment ref="J147" authorId="0" shapeId="0" xr:uid="{21A1F726-AE13-4695-AC90-ACCA3175AFB3}">
      <text>
        <r>
          <rPr>
            <b/>
            <sz val="8"/>
            <rFont val="Tahoma"/>
            <family val="2"/>
          </rPr>
          <t>Purchased heat and steam for local and district heating purposes</t>
        </r>
      </text>
    </comment>
    <comment ref="ES147" authorId="0" shapeId="0" xr:uid="{E9764994-F74A-48F9-9E65-19D229844ECA}">
      <text>
        <r>
          <rPr>
            <b/>
            <sz val="8"/>
            <rFont val="Tahoma"/>
            <family val="2"/>
          </rPr>
          <t>An equivalent measure of one tonne of transported goods over one km.</t>
        </r>
      </text>
    </comment>
    <comment ref="ES148" authorId="0" shapeId="0" xr:uid="{B6F56F42-27F9-42D4-8F6B-2553FE079B3E}">
      <text>
        <r>
          <rPr>
            <b/>
            <sz val="8"/>
            <rFont val="Tahoma"/>
            <family val="2"/>
          </rPr>
          <t>An equivalent measure of one tonne of transported goods over one km.</t>
        </r>
      </text>
    </comment>
    <comment ref="ES149" authorId="0" shapeId="0" xr:uid="{B6B5B50E-DC4C-49F6-84FB-6A7B65FAF58E}">
      <text>
        <r>
          <rPr>
            <b/>
            <sz val="8"/>
            <rFont val="Tahoma"/>
            <family val="2"/>
          </rPr>
          <t>An equivalent measure of one tonne of transported goods over one km.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jerome baddley</author>
  </authors>
  <commentList>
    <comment ref="G13" authorId="0" shapeId="0" xr:uid="{0CF9293B-A19F-4B98-9500-DA05CC3E2DF0}">
      <text>
        <r>
          <rPr>
            <b/>
            <sz val="9"/>
            <color indexed="81"/>
            <rFont val="Tahoma"/>
            <family val="2"/>
          </rPr>
          <t>jerome baddley:</t>
        </r>
        <r>
          <rPr>
            <sz val="9"/>
            <color indexed="81"/>
            <rFont val="Tahoma"/>
            <family val="2"/>
          </rPr>
          <t xml:space="preserve">
Correct for GHG Protocol AR3 (now superseded)</t>
        </r>
      </text>
    </comment>
    <comment ref="H13" authorId="0" shapeId="0" xr:uid="{1CAA0271-6584-48D4-9555-F0E7418776F9}">
      <text>
        <r>
          <rPr>
            <b/>
            <sz val="9"/>
            <color indexed="81"/>
            <rFont val="Tahoma"/>
            <family val="2"/>
          </rPr>
          <t>jerome baddley:</t>
        </r>
        <r>
          <rPr>
            <sz val="9"/>
            <color indexed="81"/>
            <rFont val="Tahoma"/>
            <family val="2"/>
          </rPr>
          <t xml:space="preserve">
Correct for GHG Protocol 4 (now superseded)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Baddley, Jerome</author>
    <author>Ali Peel</author>
  </authors>
  <commentList>
    <comment ref="A3" authorId="0" shapeId="0" xr:uid="{59301D6D-CD82-44B2-B3A8-CA4F891DB703}">
      <text>
        <r>
          <rPr>
            <b/>
            <sz val="9"/>
            <color indexed="81"/>
            <rFont val="Tahoma"/>
            <family val="2"/>
          </rPr>
          <t>Baddley, Jerome:</t>
        </r>
        <r>
          <rPr>
            <sz val="9"/>
            <color indexed="81"/>
            <rFont val="Tahoma"/>
            <family val="2"/>
          </rPr>
          <t xml:space="preserve">
Sources:
Sellers, 2017 (inhaler performance study); Akehurst et al, 1997; Ian et al, 2001 (patents); Athetron, 2017 (environmental impact study).  
Report the indicative amount of HFA propellant in a large volume SABA inhaler (e.g. Ventolin) as 17.32-19.8g. Midpoint = 18.56g. Divided by 200 doses
</t>
        </r>
      </text>
    </comment>
    <comment ref="A4" authorId="0" shapeId="0" xr:uid="{895C83D5-54AD-433D-8575-55770AD19726}">
      <text>
        <r>
          <rPr>
            <b/>
            <sz val="9"/>
            <color indexed="81"/>
            <rFont val="Tahoma"/>
            <family val="2"/>
          </rPr>
          <t>Baddley, Jerome:</t>
        </r>
        <r>
          <rPr>
            <sz val="9"/>
            <color indexed="81"/>
            <rFont val="Tahoma"/>
            <family val="2"/>
          </rPr>
          <t xml:space="preserve">
Sources:
Sellers, 2017 (inhaler performance study); Goulet, 2017 (life cycle assessment); Thompson,2017 (patent).
Report the indicative amount of HFA propellant in a small volume SABA inhaler (e.g. Salamol) as 6.68-8.5g. Midpoint = 7.59g.
Divided by 200 doses</t>
        </r>
      </text>
    </comment>
    <comment ref="A5" authorId="1" shapeId="0" xr:uid="{ED04F89B-4846-4073-A6B2-85B020DE7F26}">
      <text>
        <r>
          <rPr>
            <b/>
            <sz val="9"/>
            <color rgb="FF000000"/>
            <rFont val="Tahoma"/>
            <family val="2"/>
          </rPr>
          <t xml:space="preserve">Note:
</t>
        </r>
        <r>
          <rPr>
            <sz val="9"/>
            <color rgb="FF000000"/>
            <rFont val="Tahoma"/>
            <family val="2"/>
          </rPr>
          <t>Set equal to values for Salamol.</t>
        </r>
        <r>
          <rPr>
            <sz val="9"/>
            <color rgb="FF000000"/>
            <rFont val="Tahoma"/>
            <family val="2"/>
          </rPr>
          <t xml:space="preserve">
</t>
        </r>
      </text>
    </comment>
    <comment ref="A6" authorId="0" shapeId="0" xr:uid="{0BC0A7A6-5B09-41AF-A5EF-FA84941FD911}">
      <text>
        <r>
          <rPr>
            <b/>
            <sz val="9"/>
            <color indexed="81"/>
            <rFont val="Tahoma"/>
            <family val="2"/>
          </rPr>
          <t>Baddley, Jerome:</t>
        </r>
        <r>
          <rPr>
            <sz val="9"/>
            <color indexed="81"/>
            <rFont val="Tahoma"/>
            <family val="2"/>
          </rPr>
          <t xml:space="preserve">
Source:
Athetron, 2017 (environmental impact study); Godfrey, 2003 (patent).
Report indicative amount of HFA propellant in a Serevent inhaler as 12g.
Divided by 120 doses</t>
        </r>
      </text>
    </comment>
    <comment ref="A7" authorId="0" shapeId="0" xr:uid="{77E18867-CE80-4205-8C71-D42064BB25CB}">
      <text>
        <r>
          <rPr>
            <b/>
            <sz val="9"/>
            <color indexed="81"/>
            <rFont val="Tahoma"/>
            <family val="2"/>
          </rPr>
          <t>Baddley, Jerome:</t>
        </r>
        <r>
          <rPr>
            <sz val="9"/>
            <color indexed="81"/>
            <rFont val="Tahoma"/>
            <family val="2"/>
          </rPr>
          <t xml:space="preserve">
Source:
Athetron, 2017 (environmental impact study); Brambilla, 2014; Brown, 2010 (patents).
Report indicative amount of HFA propellant in an ICS  inhaler as 11.32-20g. Midpoint = 15.66g. Divided by 200 doses
</t>
        </r>
      </text>
    </comment>
    <comment ref="A8" authorId="0" shapeId="0" xr:uid="{EDBCCA7A-2085-4DCF-BA45-CABF516B8FE1}">
      <text>
        <r>
          <rPr>
            <b/>
            <sz val="9"/>
            <color indexed="81"/>
            <rFont val="Tahoma"/>
            <family val="2"/>
          </rPr>
          <t>Baddley, Jerome:</t>
        </r>
        <r>
          <rPr>
            <sz val="9"/>
            <color indexed="81"/>
            <rFont val="Tahoma"/>
            <family val="2"/>
          </rPr>
          <t xml:space="preserve">
Source:
Athetron, 2017 (environmental impact study); Akehurst et al, 1997; DMETS, 2006 (FDA document).
Report indicative amount of HFA propellant in a ICS/LABA inhaler using HFA134a propellant as 12-18.2g. Midpoint = 15.10g. Divided by 120 doses
</t>
        </r>
      </text>
    </comment>
    <comment ref="A9" authorId="0" shapeId="0" xr:uid="{4D130239-A0C6-415C-A61A-903485AF9243}">
      <text>
        <r>
          <rPr>
            <b/>
            <sz val="9"/>
            <color indexed="81"/>
            <rFont val="Tahoma"/>
            <family val="2"/>
          </rPr>
          <t>Baddley, Jerome:</t>
        </r>
        <r>
          <rPr>
            <sz val="9"/>
            <color indexed="81"/>
            <rFont val="Tahoma"/>
            <family val="2"/>
          </rPr>
          <t xml:space="preserve">
Source:
Mueller-Walz &amp; Fueg, 2014 (patent)
Reports indicative amount of HFA propellant in an ICS/LABA inhaler using HFA227ea as 11g (+/-0.5)
divided by 120 doses</t>
        </r>
      </text>
    </comment>
    <comment ref="A10" authorId="1" shapeId="0" xr:uid="{DB4EE740-B63E-4066-864D-AE840B2C5A7E}">
      <text>
        <r>
          <rPr>
            <b/>
            <sz val="9"/>
            <color rgb="FF000000"/>
            <rFont val="Tahoma"/>
            <family val="2"/>
          </rPr>
          <t xml:space="preserve">Note:
</t>
        </r>
        <r>
          <rPr>
            <sz val="9"/>
            <color rgb="FF000000"/>
            <rFont val="Tahoma"/>
            <family val="2"/>
          </rPr>
          <t xml:space="preserve">No information on the weight of propellant in a Trimbow inhaler (the only triple therapy MDI) could be identified. Therefore, an average of all HFA134a propellant inhaler types is used.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<sst xmlns="http://schemas.openxmlformats.org/spreadsheetml/2006/main" count="8877" uniqueCount="2596">
  <si>
    <t>Operational control</t>
  </si>
  <si>
    <t>Financial control</t>
  </si>
  <si>
    <t>AKDN Carbon Management Tool</t>
  </si>
  <si>
    <t>Additional support on how to use the tool can be found in the associated guide</t>
  </si>
  <si>
    <t xml:space="preserve">The AKDN Carbon Mangement Tool is continually being improved and updated with feedback from its users. For guidance on its use, to share feedback and to access future updates please contact: </t>
  </si>
  <si>
    <t xml:space="preserve">healthcarbonfootprint@akdn.org </t>
  </si>
  <si>
    <t xml:space="preserve">All users must commit to acknowledging AKDN and the use of this tool wherever results are shared or published. </t>
  </si>
  <si>
    <t>Headings and guidance are marked grey</t>
  </si>
  <si>
    <t>Step 1</t>
  </si>
  <si>
    <t>Complete all pink cells on this 'Cover Sheet'. The selecting the appropriate country on this sheet is required to ensure that the carbon calculations on later sheets accurately reflect country specific variables. Only report data for one country and one agency/organisation per workbook.</t>
  </si>
  <si>
    <t>Step 2</t>
  </si>
  <si>
    <t xml:space="preserve">Complete all pink cells on the 'Buildings' sheet, maximum of 30 buildings per workbook. Input the names of all buildings/sites or groups of sites to be reported. Entering floor area data here enables carbon intensity benchmarks to be populated  on the 'Building Totals &amp; benchmarking sheet'  </t>
  </si>
  <si>
    <r>
      <t>Input cells are marked pink 
(</t>
    </r>
    <r>
      <rPr>
        <b/>
        <i/>
        <sz val="14"/>
        <color theme="1"/>
        <rFont val="Calibri"/>
        <family val="2"/>
        <scheme val="minor"/>
      </rPr>
      <t>Input cells essential for calculations are in dark pink</t>
    </r>
    <r>
      <rPr>
        <b/>
        <sz val="14"/>
        <color theme="1"/>
        <rFont val="Calibri"/>
        <family val="2"/>
        <scheme val="minor"/>
      </rPr>
      <t>)</t>
    </r>
  </si>
  <si>
    <t>Step 3</t>
  </si>
  <si>
    <t xml:space="preserve">Complete the relevant pink cells on as many sheets as you have data for. Resource use sheets cover energy, travel, anaesthetic gases, refrigerants, waste, water, inhalers, contractor logistics and construction. You may not need to complete every sheet. Use the 'Narrative' box at the top of each sheet to explain any significant changes since the last report. Inputting your organisations spending data on the Procurement sheets will enable you to estimate the carbon emissions in your supply chain. With this you can identify carbon hotspots and priority suppliers to engage.  To avoid common errors: 
1. Avoid copying and pasting data or text into the sheets. If you do, paste as 'values only'.
2. When drop down menus are available they must be used
3. Do not change the names entered for buildings once you have started to complete the sheets.    </t>
  </si>
  <si>
    <t>Output cells are marked in green</t>
  </si>
  <si>
    <t>Step 4</t>
  </si>
  <si>
    <t xml:space="preserve">Complete/update relevant pink cells on the 'Actions Tracker' sheet to highlight key actions that are currently underway or planned.  </t>
  </si>
  <si>
    <t>Details of reporting organisation</t>
  </si>
  <si>
    <t>Agency/Organisation name:</t>
  </si>
  <si>
    <t>Country:</t>
  </si>
  <si>
    <r>
      <rPr>
        <b/>
        <sz val="11"/>
        <color theme="1"/>
        <rFont val="Calibri"/>
        <family val="2"/>
        <scheme val="minor"/>
      </rPr>
      <t>Note:</t>
    </r>
    <r>
      <rPr>
        <sz val="11"/>
        <color theme="1"/>
        <rFont val="Calibri"/>
        <family val="2"/>
        <scheme val="minor"/>
      </rPr>
      <t xml:space="preserve"> Only report data for one country per workbook</t>
    </r>
  </si>
  <si>
    <t>Region (in country):</t>
  </si>
  <si>
    <t>Reporting Period (months):</t>
  </si>
  <si>
    <t xml:space="preserve">Start: </t>
  </si>
  <si>
    <t>End:</t>
  </si>
  <si>
    <t>Date Prepared:</t>
  </si>
  <si>
    <t>Name of person preparing report:</t>
  </si>
  <si>
    <t>Phone number:</t>
  </si>
  <si>
    <t>Email address:</t>
  </si>
  <si>
    <t>Accounting approach</t>
  </si>
  <si>
    <t>Operational Control</t>
  </si>
  <si>
    <t>Created</t>
  </si>
  <si>
    <t>This version 1.6.1</t>
  </si>
  <si>
    <t>As the tool is revised and updated changes are logged on this sheet- July 2021</t>
  </si>
  <si>
    <t>Change</t>
  </si>
  <si>
    <t>Impact</t>
  </si>
  <si>
    <t>Date</t>
  </si>
  <si>
    <t>Carbon factors for Butane and Propane updated from US EPA to new UK DEFRA factors for consistency</t>
  </si>
  <si>
    <t>This will result in a small change in calculated emissions for any reported Butane and Propane use.</t>
  </si>
  <si>
    <t>Carbon factors added for glass and hard plastics added to construction materials from UK DEFRA factors</t>
  </si>
  <si>
    <t>These are new specific factors for materials that would have been reported under 'Average construction'</t>
  </si>
  <si>
    <t>Heat networks added to energy sheet</t>
  </si>
  <si>
    <t>This allows users with heat or steam supplied through a district heating system to report emissions. It is possible to use a default or a user defined factor. This adds a new Scope 2 carbon source and a new line in the Totals sheet.</t>
  </si>
  <si>
    <t>Biomass % added as an option for petrol and diesel use</t>
  </si>
  <si>
    <t xml:space="preserve">In some regions and countries low carbon biofuels are premixed with liquid fuels bought from fuel stations. You may now specify if your fuel contains a % biofuel. This function appears on the vehicle fuel and energy sheets </t>
  </si>
  <si>
    <t>Carbon factor from IPPC added for landfill and buried waste</t>
  </si>
  <si>
    <t>Carbon emissions will now be calculated for any waste specified as buried or landfilled.</t>
  </si>
  <si>
    <t>Tier 1 procurement footprint scoping is now separated into its own tab(QuickStart) and the factors have been adjusted to source data from 1 peer reviewed academic paper for consistency.</t>
  </si>
  <si>
    <t>The estimated emissions for Low and Middle Income Countries will return a higher value than previously</t>
  </si>
  <si>
    <t>Action Tracker reintroduced</t>
  </si>
  <si>
    <t>The action tracker should be completed in all returns</t>
  </si>
  <si>
    <t>More countries added to electricity emissions list</t>
  </si>
  <si>
    <t>It is now possible to accommodate emissions calculations for a wider range of countries</t>
  </si>
  <si>
    <t>Emissions factor source for electricity now displayed</t>
  </si>
  <si>
    <t>The energy sheet now displays the emissions factor source at the end of the electricity use table</t>
  </si>
  <si>
    <t>Manual entry of electricity emissions factor is now possible</t>
  </si>
  <si>
    <t>If you are able to source a more accurate or up to date local emissions factor for your electricity, from a credible government, energy supplier or international energy agency source, this can now be manually entered</t>
  </si>
  <si>
    <t>Error checking tab added</t>
  </si>
  <si>
    <t>Once all data is entered you can check the data for consistency using the error checking tab. Each error is associated with instructions on how to trouble-shoot a solution</t>
  </si>
  <si>
    <t>User defined anaesthetic gas bottle/cylinder size</t>
  </si>
  <si>
    <t>As cylinder and bottle sizes is less consistent between countries than previously though this function allows you to select the size as 'Unlisted' and manually enter the weight of gas in each bottle/cylinder</t>
  </si>
  <si>
    <t>Error correction- Inhalers</t>
  </si>
  <si>
    <t>A calculation error on the inhalers sheet that resulted in an under calculation of emissions has been fixed.</t>
  </si>
  <si>
    <t>Reporting period added to the cover sheet.</t>
  </si>
  <si>
    <t>A user-defined reporting period (1,3,6,12 months) on the cover sheet needs to be filled to ensure correct estimation for refrigerant leakage.</t>
  </si>
  <si>
    <t>User-defined scope selection for generic sites</t>
  </si>
  <si>
    <t>Where 'all sites', 'Not linked to site' or 'several sites' are selected  as the building, on the energy and refrigerants sheets the user us now prompted to manually assign a Scope, to reduce the risk of error</t>
  </si>
  <si>
    <t>Greying out unnecessary cells</t>
  </si>
  <si>
    <t xml:space="preserve">Where a cell becomes unnecessary, due to the completion of other data, it now turns grey. Only pink cells should be completed. </t>
  </si>
  <si>
    <t>Check box added to avoid double counting on vehicle fuel/miles</t>
  </si>
  <si>
    <t>Addition of a checkbox on the vehicle miles tab that asks "Has all fuel use data for this vehicle also been reported in the 'Vehicle Fuel' sheet", to avoid double-counting</t>
  </si>
  <si>
    <t>All spending data now to be entered in $1000's</t>
  </si>
  <si>
    <t>All spending data at QuickStart(T1), T2 and T3 is now requested in $1000's for consistency</t>
  </si>
  <si>
    <t>`</t>
  </si>
  <si>
    <t>Error checking tab fixed</t>
  </si>
  <si>
    <t>2 errors in the error checking tab where fixed to ensure error messages switch off when travel emissions and missing floor areas errors are fixed.</t>
  </si>
  <si>
    <t>Error checking tab- procurement</t>
  </si>
  <si>
    <t>New error check introduced to highlight missing data on procurement tab</t>
  </si>
  <si>
    <t>Conditional formatting in Procurement T2</t>
  </si>
  <si>
    <t>Only cells requiring a Y/N entry are now highlighted pink, all others are highlighted green</t>
  </si>
  <si>
    <t>Conditional formatting in Procurement T3</t>
  </si>
  <si>
    <t>Only cells requiring data now show pink</t>
  </si>
  <si>
    <t>Default emissions factor Procurement T3</t>
  </si>
  <si>
    <t>If spend data, but no supplier emissions factor, is entered  in Procurement T3 the tab now uses the default emissions factor for the relevant cost code</t>
  </si>
  <si>
    <t>Default electricity factors updated to UNFCCC 2019</t>
  </si>
  <si>
    <t>Where IEA 2012, and IGES factors (OM) had been used previously, these have been updated to 2019 UNFCCC (CM)  factor. Factors have also been added for several small states and territories. All factors can be over-written with user defined factors, if this data is available from national government sources</t>
  </si>
  <si>
    <t>Total sheet name change from SC1 On site Incineration</t>
  </si>
  <si>
    <t>Changed to SC1 waste disposal to reflect inclusion of landfill</t>
  </si>
  <si>
    <t>Supply chain totals  Pareto graph</t>
  </si>
  <si>
    <t>This now links to the T3 adjusted carbon emissions</t>
  </si>
  <si>
    <t>Metrics on T3 sheet</t>
  </si>
  <si>
    <t>These now calculate % of total expenditure with reporting suppliers rather than % total carbon</t>
  </si>
  <si>
    <t>T2  sheet carbon calcs</t>
  </si>
  <si>
    <t>Consistent with T2 calcs by cost code, T3 carbon totals now appear only if Y/N is selected in column B</t>
  </si>
  <si>
    <t xml:space="preserve">Landfill carbon factor </t>
  </si>
  <si>
    <t>Landfill carbon factor amended to factor from IPCC EFDB, that assumes no gas capture at landfill site, following review of most common current practice in low and middle income countries</t>
  </si>
  <si>
    <t>Data validation on number and year fields</t>
  </si>
  <si>
    <t>All number, year and % fields now have data validation added. In some cases with range limits to ensure that numbers outside of reasonable ranges are prevented. e.g., entries over 50,000,000 in individual procurement sections are highlighted as almost certainly too high. figures above 30kg/$ are prevented in supplier carbon intensity.</t>
  </si>
  <si>
    <t>Additional lines on waste sheet</t>
  </si>
  <si>
    <t>To accommodate up to 3 waste disposal routes for every site additional lines have been added to the waste data sheet</t>
  </si>
  <si>
    <t>Carbon saving hints added to key pages</t>
  </si>
  <si>
    <t>Brief hints on how to cut emissions have been added to the tops of some sheets</t>
  </si>
  <si>
    <t>Data source questions added to procurement T3 sheet</t>
  </si>
  <si>
    <t>To enable % of supplier reporting to reflect only those who are supplying their carbon intensities, a 'source for data' column has been added against SC1=2 and Sc1,2+3 carbon intensities columns</t>
  </si>
  <si>
    <t>Construction emissions relocated to supply chain</t>
  </si>
  <si>
    <t>Previously emissions from the construction sheet showed as a separate line in the totals sheet. These emissions are actually 'supply chain' emissions. The construction sheet simply provides and opportunity to improve on any high level estimate based on spending on the T2 sheet. Now any emissions calculated from data on the construction sheet will appear in Cell F23 on the Procurement_T2 sheet against construction.</t>
  </si>
  <si>
    <t>Calculations for individual Greenhouse gases added</t>
  </si>
  <si>
    <t>For a some organisations reporting into national inventories, it is necessary to have the greenhouse gas data broken down into separate gases. In line with best practice, totals are now provided on each line and sheet totals on each sheet for Nitrous oxide (N2O), Carbon dioxide CO2 and Methane (CH4)</t>
  </si>
  <si>
    <t>User defined $ conversion</t>
  </si>
  <si>
    <t>Only 23 currencies are pre-provided with editable $ conversion rates. To enable additional currencies to be used a 'user defined currency' option has been added to the $ conversion sheet. Once users add their own currency and conversion rate, this then appears as an option in the currency selection dropdowns on all sheets</t>
  </si>
  <si>
    <t>Minor reorganisation of tabs</t>
  </si>
  <si>
    <t>Supply chain and product related tabs (inhalers and construction materials) have been moved so that they are together. The $ conversion sheet has been moved to the front. Totals and output tabs have been coloured blue.</t>
  </si>
  <si>
    <t>User defined carbon factor for electricity added to vehicle fuel sheet</t>
  </si>
  <si>
    <t>With increasing uptake of EVs the vehicle fuel sheet has been improved to allow the entry of a user defined electricity emissions factor. This brings it in line with the electricity tables in the Energy sheet</t>
  </si>
  <si>
    <t>Waste factors updated</t>
  </si>
  <si>
    <t>The carbon factors for incineration have been updated to include nitrous oxide emissions. This very slightly increases the emissions arising from waste incineration</t>
  </si>
  <si>
    <t>Additional inhalers added and carbon factors updated</t>
  </si>
  <si>
    <t>A UK resource has become available that provides additional data on several branded inhalers. The reference data has been updated accordingly</t>
  </si>
  <si>
    <t>Procurement T2 emissions factor set updated to Most recent DEFRA values</t>
  </si>
  <si>
    <t xml:space="preserve">T2 emissions factors have been updated to reflect the March2021 update on DEFRA data and the $ to £ conversion updated from 0.8 to 0.74 (rate as of 26th Jan 2022) </t>
  </si>
  <si>
    <t>Waste definition for recycled changed</t>
  </si>
  <si>
    <t xml:space="preserve">To reduce the allocation of disposal as 'other', the category in the dropdown list for 'recycled' has been changed to 'Recycled, composted, sold or animal feed' </t>
  </si>
  <si>
    <t>Additional spending codes added</t>
  </si>
  <si>
    <t>Several new pre-mapped spending codes have been added under T2. These include a distinction between 'Construction Contracts (not materials)' and 'Construction Materials', Other Professional Fees, Insurance, Building or land rent or lease. Users can add their own codes at any time</t>
  </si>
  <si>
    <t>2 high level KPIs added</t>
  </si>
  <si>
    <t>On the buildings and benchmarking sheet, 2 carbon intensity outputs have been added: 
  1. All scopes carbon intensity per $ expenditure (drawn from the expenditure figure provided on the Quickstart sheet)
  2. Scope 1+2 carbon intensity per total floor area (drawn from floor areas entered on the Buildings sheet). 
As operations grow it is useful to track changes in emissions intensity, alongside absolute emissions.</t>
  </si>
  <si>
    <t>Data quality score adjusted for default electricity factor</t>
  </si>
  <si>
    <t xml:space="preserve">The default electricity factors from UNFCC contain both Scope 2 and Scope 3 elements, as such may overestimate Scope 2 emissions, this will typically be by 4-13%. Use of locally defined or IEA sourced Scope 2 factors is encouraged. As such, use of the default factors for electricity for any line will reduce the data quality score for that line by 20% </t>
  </si>
  <si>
    <t>Data set</t>
  </si>
  <si>
    <t>Foreign Exchange Rates Table</t>
  </si>
  <si>
    <t xml:space="preserve">Next publication date: </t>
  </si>
  <si>
    <t>Source:</t>
  </si>
  <si>
    <t>XXXX</t>
  </si>
  <si>
    <t>Scope:</t>
  </si>
  <si>
    <t>2022 BUDGET CYCLE</t>
  </si>
  <si>
    <t>Version:</t>
  </si>
  <si>
    <t>Year:</t>
  </si>
  <si>
    <t>LOCAL CURRENCIES</t>
  </si>
  <si>
    <t xml:space="preserve"> $ Conversion</t>
  </si>
  <si>
    <t>Lookup table</t>
  </si>
  <si>
    <t>F/x for 1 USD :</t>
  </si>
  <si>
    <t>Currency</t>
  </si>
  <si>
    <t>Dollar conversion rate</t>
  </si>
  <si>
    <t>EURO</t>
  </si>
  <si>
    <t>USD (US Dollar)</t>
  </si>
  <si>
    <t>€URO - Reversal</t>
  </si>
  <si>
    <t>GBP (Sterling pound)</t>
  </si>
  <si>
    <t>CAD (Canadian Dollar)</t>
  </si>
  <si>
    <t>GBP - Reversal</t>
  </si>
  <si>
    <t>CHF (Swiss franc)</t>
  </si>
  <si>
    <t>PKR (Pakistan rupee)</t>
  </si>
  <si>
    <t>INR (Indian rupee)</t>
  </si>
  <si>
    <t>KES (Kenyan shilling)</t>
  </si>
  <si>
    <t>UGX (Uganda shilling)</t>
  </si>
  <si>
    <t>BDT (Bangladesh taka)</t>
  </si>
  <si>
    <t>TZS (Tanzanian shilling)</t>
  </si>
  <si>
    <t>XOF (Franc CFA)</t>
  </si>
  <si>
    <t>MZN (Mozambique New Metecal)</t>
  </si>
  <si>
    <t>EGP (Egyptian pound)</t>
  </si>
  <si>
    <t>SYP (Syrian Pound)</t>
  </si>
  <si>
    <t>RWF (Rwandan Franc)</t>
  </si>
  <si>
    <t>MGA (Malagasy Ariary)</t>
  </si>
  <si>
    <t>AFN (Afghanistan Afghani)</t>
  </si>
  <si>
    <t>TJS (Tajikistan Somoni)</t>
  </si>
  <si>
    <t>KGS  (Kyrgyzstanian Som)</t>
  </si>
  <si>
    <t>United Arab Dirham (AED Dirhams)</t>
  </si>
  <si>
    <t>ZAR (South Africa Rand)</t>
  </si>
  <si>
    <t xml:space="preserve">BIF (Burundi Franc) </t>
  </si>
  <si>
    <t>RUB (Russian Rouble)</t>
  </si>
  <si>
    <t>MUR (Mauritius Rupee)</t>
  </si>
  <si>
    <r>
      <t xml:space="preserve">User defined currency 
</t>
    </r>
    <r>
      <rPr>
        <b/>
        <sz val="11"/>
        <color theme="5" tint="0.79998168889431442"/>
        <rFont val="Calibri"/>
        <family val="2"/>
        <scheme val="minor"/>
      </rPr>
      <t>from '$ Conversion' sheet</t>
    </r>
  </si>
  <si>
    <t>Enter $ conversion rate</t>
  </si>
  <si>
    <t>Total emissions reported:</t>
  </si>
  <si>
    <r>
      <rPr>
        <b/>
        <sz val="11"/>
        <rFont val="Calibri"/>
        <family val="2"/>
        <scheme val="minor"/>
      </rPr>
      <t>Technical note:</t>
    </r>
    <r>
      <rPr>
        <sz val="11"/>
        <rFont val="Calibri"/>
        <family val="2"/>
        <scheme val="minor"/>
      </rPr>
      <t xml:space="preserve"> This tool is configured to allocate your emissions to Scopes on the basis of Operational Control, i.e. All emissions arising from owned, leased or rented assets are accounted to your Scope 1 or 2 footprints as appropriate. It is also possible to account by Financial Control where only emissions arising from the assets that you directly own are allocated to your Scope 1 or 2 footprints. Under Financial Control accounting all emission from rented or leased assets would be reported as Scope 3 emissions. To account under Financial Control, you will need to manually assign Scope 3 where appropriate on the data sheets.</t>
    </r>
  </si>
  <si>
    <t>Scope</t>
  </si>
  <si>
    <t>Emission area</t>
  </si>
  <si>
    <t>Weighted data quality (carbon accounting)</t>
  </si>
  <si>
    <t>CO2</t>
  </si>
  <si>
    <t>CH4</t>
  </si>
  <si>
    <t>N2O</t>
  </si>
  <si>
    <t>Scope 1</t>
  </si>
  <si>
    <t>SC1 Building energy</t>
  </si>
  <si>
    <r>
      <t>CO</t>
    </r>
    <r>
      <rPr>
        <vertAlign val="subscript"/>
        <sz val="11"/>
        <rFont val="Calibri"/>
        <family val="2"/>
        <scheme val="minor"/>
      </rPr>
      <t>2</t>
    </r>
    <r>
      <rPr>
        <sz val="11"/>
        <rFont val="Calibri"/>
        <family val="2"/>
        <scheme val="minor"/>
      </rPr>
      <t>-e (metric tonnes)</t>
    </r>
  </si>
  <si>
    <t>SC1 Travel</t>
  </si>
  <si>
    <t>SC1 Refrigerants</t>
  </si>
  <si>
    <t>SC1  Waste</t>
  </si>
  <si>
    <t>SC1 Anaesthetic gases</t>
  </si>
  <si>
    <t>Scope 2</t>
  </si>
  <si>
    <t>SC2 Purchased and consumed grid electricity</t>
  </si>
  <si>
    <t>SC2 Heat networks</t>
  </si>
  <si>
    <t>Total Scope 1 &amp; Scope 2</t>
  </si>
  <si>
    <t>Scope 3</t>
  </si>
  <si>
    <t>SC3 Building energy (building not owned)</t>
  </si>
  <si>
    <t>SC3 Refrigerants (building not owned)</t>
  </si>
  <si>
    <t>SC3 Travel (vehicles not owned)</t>
  </si>
  <si>
    <t>SC3 Employee business travel-road, rail, air</t>
  </si>
  <si>
    <t>km</t>
  </si>
  <si>
    <t>SC3 Water</t>
  </si>
  <si>
    <t>litres</t>
  </si>
  <si>
    <t>n/a</t>
  </si>
  <si>
    <t>SC3 Waste</t>
  </si>
  <si>
    <t>kg</t>
  </si>
  <si>
    <t>SC3 Contractor logistics</t>
  </si>
  <si>
    <t>SC3 Inhalers</t>
  </si>
  <si>
    <t>SC3 Supply chain</t>
  </si>
  <si>
    <t>Total Scope 3</t>
  </si>
  <si>
    <t>Total All Scopes</t>
  </si>
  <si>
    <t>Other</t>
  </si>
  <si>
    <t>Generated renewable electricity</t>
  </si>
  <si>
    <t>KWh</t>
  </si>
  <si>
    <t>Total Scope 1</t>
  </si>
  <si>
    <t>Total Scope 2</t>
  </si>
  <si>
    <t>Confidence (Very Low=&lt;5, Low=&lt;10, Medium=&lt;15, High=&gt;15)</t>
  </si>
  <si>
    <t>To generate Scope 3 supply chain emissions estimates the 'Quickstart', 'Procurement' and 'Spend Mapping' sheets need to be completed as fully as possible</t>
  </si>
  <si>
    <r>
      <t xml:space="preserve">As well as bottom-up carbon footprinting from natural resource use, this tool calculates carbon emissions from spending data. Outputs are possible in 3 Tiers of increasing detail and accuracy  based on the depth of data provided. 
</t>
    </r>
    <r>
      <rPr>
        <b/>
        <sz val="11"/>
        <color theme="1"/>
        <rFont val="Calibri"/>
        <family val="2"/>
        <scheme val="minor"/>
      </rPr>
      <t>T1 Scoping-</t>
    </r>
    <r>
      <rPr>
        <sz val="11"/>
        <color theme="1"/>
        <rFont val="Calibri"/>
        <family val="2"/>
        <scheme val="minor"/>
      </rPr>
      <t xml:space="preserve"> Roughly estimates you supply chain emissions from national averages. 
</t>
    </r>
    <r>
      <rPr>
        <b/>
        <sz val="11"/>
        <color theme="1"/>
        <rFont val="Calibri"/>
        <family val="2"/>
        <scheme val="minor"/>
      </rPr>
      <t>T2 Hotspotting-</t>
    </r>
    <r>
      <rPr>
        <sz val="11"/>
        <color theme="1"/>
        <rFont val="Calibri"/>
        <family val="2"/>
        <scheme val="minor"/>
      </rPr>
      <t xml:space="preserve"> Provides a more refined supply chain emissions estimate and identifies carbon hotspots. 
</t>
    </r>
    <r>
      <rPr>
        <b/>
        <sz val="11"/>
        <color theme="1"/>
        <rFont val="Calibri"/>
        <family val="2"/>
        <scheme val="minor"/>
      </rPr>
      <t>T3 Reporting-</t>
    </r>
    <r>
      <rPr>
        <sz val="11"/>
        <color theme="1"/>
        <rFont val="Calibri"/>
        <family val="2"/>
        <scheme val="minor"/>
      </rPr>
      <t xml:space="preserve"> Provides a more accurate supply chain emissions calculation to aid reporting.</t>
    </r>
  </si>
  <si>
    <t>Total $ spent on healthcare in time period (pay and non-pay)</t>
  </si>
  <si>
    <r>
      <rPr>
        <b/>
        <sz val="11"/>
        <color theme="1"/>
        <rFont val="Calibri"/>
        <family val="2"/>
        <scheme val="minor"/>
      </rPr>
      <t>Tier 1</t>
    </r>
    <r>
      <rPr>
        <sz val="11"/>
        <color theme="1"/>
        <rFont val="Calibri"/>
        <family val="2"/>
        <scheme val="minor"/>
      </rPr>
      <t>-</t>
    </r>
    <r>
      <rPr>
        <b/>
        <sz val="11"/>
        <color theme="1"/>
        <rFont val="Calibri"/>
        <family val="2"/>
        <scheme val="minor"/>
      </rPr>
      <t>Scoping</t>
    </r>
    <r>
      <rPr>
        <sz val="11"/>
        <color theme="1"/>
        <rFont val="Calibri"/>
        <family val="2"/>
        <scheme val="minor"/>
      </rPr>
      <t xml:space="preserve">. Footprinting at this Tier represents an estimate of total supply chain emissions based on, national, geographic, or national income group averages. Averages for health sector carbon intensity across these groupings have been calculated from published literature. Where nation specific health sector carbon intensities are not available, these averages may be drawn from very small data sets and may not be representative of the supply chain for a specific organisation. They do however provide a fair estimate of total the scale of emissions arising from healthcare activity across all scopes.  </t>
    </r>
    <r>
      <rPr>
        <b/>
        <sz val="11"/>
        <color theme="1"/>
        <rFont val="Calibri"/>
        <family val="2"/>
        <scheme val="minor"/>
      </rPr>
      <t>To generate a T1 footprint please complete the 'Quickstart_T1' sheet. Any non-supply chain emissions that you have calculated in the rest of the workbook will be excluded from this total.</t>
    </r>
  </si>
  <si>
    <t>Geographic or economic classification group</t>
  </si>
  <si>
    <t>Emissions estimate (Tonnes CO2e)</t>
  </si>
  <si>
    <t>Number of country data  points for used average</t>
  </si>
  <si>
    <r>
      <rPr>
        <b/>
        <sz val="11"/>
        <color theme="1"/>
        <rFont val="Calibri"/>
        <family val="2"/>
        <scheme val="minor"/>
      </rPr>
      <t>Tier 2-Hotspotting.</t>
    </r>
    <r>
      <rPr>
        <sz val="11"/>
        <color theme="1"/>
        <rFont val="Calibri"/>
        <family val="2"/>
        <scheme val="minor"/>
      </rPr>
      <t xml:space="preserve"> Footprinting at this Tier represents an estimation of Scope 3 supply chain emissions only. This uses UK government published product carbon intensities. This offers some guidance as to where hotspots exist in your supply chain. However, UK carbon intensities may not accurately reflect the true carbon intensity of spending in your country. Any areas where good bottom-up footprinting has been conducted in the rest of the workbook (e.g., energy, fuel, or business travel) should have been excluded from this total. If Tier 3 footprinting is not undertaken, the Tier 2 emissions figure can be presented alongside Scope 1,2 and other Scope 3 data as an initial estimate of the emissions from your supply chain. </t>
    </r>
    <r>
      <rPr>
        <b/>
        <sz val="11"/>
        <color theme="1"/>
        <rFont val="Calibri"/>
        <family val="2"/>
        <scheme val="minor"/>
      </rPr>
      <t>To generate a T2 footprint please complete the 'Spend Mapping' and 'Procurement_T2' sheets.</t>
    </r>
  </si>
  <si>
    <t>Number of cost codes reviewed</t>
  </si>
  <si>
    <t>No of high priority hotspot areas identified</t>
  </si>
  <si>
    <t>% of emissions in high priority areas</t>
  </si>
  <si>
    <t>Number of medium priority hotspot areas identified</t>
  </si>
  <si>
    <t>% of emissions in medium priority areas</t>
  </si>
  <si>
    <r>
      <rPr>
        <b/>
        <sz val="11"/>
        <color theme="1"/>
        <rFont val="Calibri"/>
        <family val="2"/>
        <scheme val="minor"/>
      </rPr>
      <t>Tier 3-Reporting.</t>
    </r>
    <r>
      <rPr>
        <sz val="11"/>
        <color theme="1"/>
        <rFont val="Calibri"/>
        <family val="2"/>
        <scheme val="minor"/>
      </rPr>
      <t xml:space="preserve"> Footprinting</t>
    </r>
    <r>
      <rPr>
        <b/>
        <sz val="11"/>
        <color theme="1"/>
        <rFont val="Calibri"/>
        <family val="2"/>
        <scheme val="minor"/>
      </rPr>
      <t xml:space="preserve"> </t>
    </r>
    <r>
      <rPr>
        <sz val="11"/>
        <color theme="1"/>
        <rFont val="Calibri"/>
        <family val="2"/>
        <scheme val="minor"/>
      </rPr>
      <t xml:space="preserve">at this Tier is more refined and accurate than Tier 2. Where possible emissions based on average factors have been replaced with actual data from your suppliers.  This allows tracking of actual carbon reductions in your supply chain. Alongside more qualitative metrics, data at this level can evidence how your supply chain is moving towards Net Zero and better environmental stewardship. The Tier 3 emissions figure can be presented alongside Scope 1, 2 and other Scope 3 data as the calculated emissions from your supply chain.  </t>
    </r>
    <r>
      <rPr>
        <b/>
        <sz val="11"/>
        <color theme="1"/>
        <rFont val="Calibri"/>
        <family val="2"/>
        <scheme val="minor"/>
      </rPr>
      <t>To refine your T2 footprint to T3 enter as much data on your largest suppliers as possible on the 'Procurement_T3' sheet.</t>
    </r>
  </si>
  <si>
    <t>% ($) Supply chain with environmental policies</t>
  </si>
  <si>
    <t xml:space="preserve">% ($)of Supply chain reporting Sc1,2 emissions (%) </t>
  </si>
  <si>
    <t>Number of suppliers reporting Sc1 and 2 emissions (No.)</t>
  </si>
  <si>
    <t>% ($) of Supply chain with Sc1 and 2  Net zero emissions targets  (%)</t>
  </si>
  <si>
    <t>% ($) of Supply chain with Sc 1,2 and 3 Net zero emissions targets  (%)</t>
  </si>
  <si>
    <t xml:space="preserve">Completing 'Spend Mapping' and 'Procurement_T2' sheets will also allow you to identify your high and medium priority supply chain hotspots. These will populate below. </t>
  </si>
  <si>
    <t>High priority carbon hotspots (&lt;5% of emissions)</t>
  </si>
  <si>
    <t>Emissions estimate (tCO2e)</t>
  </si>
  <si>
    <t>Medium priority carbon hotspots (1-5% of emissions)</t>
  </si>
  <si>
    <r>
      <rPr>
        <b/>
        <sz val="11"/>
        <color theme="1"/>
        <rFont val="Calibri"/>
        <family val="2"/>
        <scheme val="minor"/>
      </rPr>
      <t xml:space="preserve">NOTE: </t>
    </r>
    <r>
      <rPr>
        <sz val="11"/>
        <color theme="1"/>
        <rFont val="Calibri"/>
        <family val="2"/>
        <scheme val="minor"/>
      </rPr>
      <t>Emissions and resource expenditure by site and per floor will populate on this sheet as you complete the workbook. All sites entered on the 'Buildings' sheet will appear here. To enable benchmarking by floor area, you must enter floor area data on the 'Buildings' Sheet.</t>
    </r>
  </si>
  <si>
    <t>Carbon and cost hotspots Red/ Amber/ Green rating (Compares between figures within this workbook only)</t>
  </si>
  <si>
    <t>Low</t>
  </si>
  <si>
    <t>Blank chart entries can be hidden by  clicking on the chart area and selecting the funnel icon (as shown in the image) that appears to the right of the chart.</t>
  </si>
  <si>
    <t xml:space="preserve">Medium </t>
  </si>
  <si>
    <t>High</t>
  </si>
  <si>
    <t>Overall buildings carbon intensity per m2 floor area (Scopes 1 and 2 total/total floor area)</t>
  </si>
  <si>
    <t>Overall operational carbon intensity per $ spent (Scopes 1,2 and 3 total/Quickstart expenditure)</t>
  </si>
  <si>
    <t>Carbon emissions (KgCO2e)</t>
  </si>
  <si>
    <t>Building/site</t>
  </si>
  <si>
    <t>Grid Electricity</t>
  </si>
  <si>
    <t>Grid gas</t>
  </si>
  <si>
    <t>Bottled gas</t>
  </si>
  <si>
    <t>Solid fuel</t>
  </si>
  <si>
    <t>Liquid fuel</t>
  </si>
  <si>
    <t>Heat networks</t>
  </si>
  <si>
    <t>Vehicle Fuel</t>
  </si>
  <si>
    <t>Vehicle Distance</t>
  </si>
  <si>
    <t>Business travel</t>
  </si>
  <si>
    <t>Anaesthetic gases</t>
  </si>
  <si>
    <t>Refrigerants</t>
  </si>
  <si>
    <t>Water (No data- Not RAG rated</t>
  </si>
  <si>
    <t>Waste</t>
  </si>
  <si>
    <t>Inhalers</t>
  </si>
  <si>
    <t>Total Kg CO2</t>
  </si>
  <si>
    <t>Cost ($)</t>
  </si>
  <si>
    <t>Vehicle Distance  (No data- Not RAG rated)</t>
  </si>
  <si>
    <t>Business travel (No data- Not RAG rated)</t>
  </si>
  <si>
    <t>Water</t>
  </si>
  <si>
    <t>Inhalers (No data- Not RAG rated)</t>
  </si>
  <si>
    <t>Total expenditure $</t>
  </si>
  <si>
    <t>Total Expenditure $</t>
  </si>
  <si>
    <t>Buildings carbon emissions contribution per m2 (KgCO2e/m2)</t>
  </si>
  <si>
    <t>Total tCO2e/m2</t>
  </si>
  <si>
    <t>Average Kg CO2/m2</t>
  </si>
  <si>
    <t>Buildings cost per m2 ($/m2)</t>
  </si>
  <si>
    <t>Total $/m2</t>
  </si>
  <si>
    <t>Average $/m2</t>
  </si>
  <si>
    <t>Other environmental indicators</t>
  </si>
  <si>
    <t>Water (Litres)</t>
  </si>
  <si>
    <t xml:space="preserve">Waste(kg) </t>
  </si>
  <si>
    <t>Construction (kg)</t>
  </si>
  <si>
    <t>Business travel (km)</t>
  </si>
  <si>
    <t>Renewable generation (KWh)</t>
  </si>
  <si>
    <t>NOTE: This sheet highlights errors or inconsistencies in the entered data that need to be fixed to ensure all calculations function as intended. Review any red or amber highlighted areas and follow the advice in the box to the right.</t>
  </si>
  <si>
    <t>Scopes total</t>
  </si>
  <si>
    <t>Buildings total</t>
  </si>
  <si>
    <t>Guidance</t>
  </si>
  <si>
    <t>Overall (tCO2e)</t>
  </si>
  <si>
    <t>These 2 headline numbers should be equal. If the Scopes total is lower, check that all lines on all sheets have been automatically or where necessary manually assigned a Scope. If the buildings total is lower, check that all building/site names on each sheet match the name options in the drop down list.  To help identify where the issue is located look at the sheet by sheet error logs below</t>
  </si>
  <si>
    <t>Energy (tCO2e)</t>
  </si>
  <si>
    <t xml:space="preserve">These pairs of numbers should each be equal. If the Scopes total is lower, check that all lines on the relevant sheet have been assigned a Scope. If the buildings total is lower, check that all lines on the relevant sheet have had a building/site name assigned. 
Also check that the names on the relevant sheet exactly match the name options in the drop down list. Reselect building names from the drop down if necessary. If site names do not match the names in the dropdown list totals and benchmarking calculations will not function as intended.  </t>
  </si>
  <si>
    <t>Energy 2 (tCO2e)</t>
  </si>
  <si>
    <t>Vehicle-Fuel and Vehicle-Distance (tCO2e)</t>
  </si>
  <si>
    <t>Travel-Other vehicles (tCO2e)</t>
  </si>
  <si>
    <t>Anaesthetic gases (tCO2e)</t>
  </si>
  <si>
    <t>Refrigerants (tCO2e)</t>
  </si>
  <si>
    <t>Waste (tCO2e)</t>
  </si>
  <si>
    <t>Inhalers (tCO2e)</t>
  </si>
  <si>
    <t>Country selection</t>
  </si>
  <si>
    <t>No country has been identified on the cover sheet. This is required to generate an electricity emissions factor</t>
  </si>
  <si>
    <t>Duplicate entries- Inhalers</t>
  </si>
  <si>
    <t>If numbers have been reported for the devices 'dispensed', the same devices should not also be reported as 'prescribed' and visa versa. This will lead to double counting.</t>
  </si>
  <si>
    <t>Floor areas</t>
  </si>
  <si>
    <t>Floor areas have not been entered for all buildings. This means that not all sites can be benchmarked</t>
  </si>
  <si>
    <t>Procurement- double counting</t>
  </si>
  <si>
    <t>Where spending data has been entered it must be marked either Y or N to identify if emissions for that area have already been fully accounted for elsewhere in the workbook.</t>
  </si>
  <si>
    <t xml:space="preserve">Procurement- misallocation of T3 spending </t>
  </si>
  <si>
    <t xml:space="preserve">The total spending allocated to one or more cost codes on the T3 sheets (Column B) exceeds the spending against the same cost code/s on the T2 sheet. In Column B on the T3 sheet you may need to select a different cost code for one or more supplier/s. If spending with 1 supplier falls across 2 different cost codes (e.g. some pharmaceuticals, some medical equipment) you may want to split spending with that supplier over 2 rows allocated to these different cost codes. </t>
  </si>
  <si>
    <t>Quickstart</t>
  </si>
  <si>
    <t>The total in the Quickstart sheet must be higher than the total expenditure entered on T2. The Quickstart total must include all operational expenditure over the time period. This includes all procurement expenditure (T2), salaries and any other operational expenditure, excluding any income, grants or rebates.</t>
  </si>
  <si>
    <r>
      <t xml:space="preserve">This sheet is intended to be a running record of any actions you are taking to reduce your identified impacts. Please update and build on this action tracker as needed from quarter to quarter. Please report actions against the areas highlighted below:
</t>
    </r>
    <r>
      <rPr>
        <b/>
        <sz val="11"/>
        <color theme="1"/>
        <rFont val="Calibri"/>
        <family val="2"/>
        <scheme val="minor"/>
      </rPr>
      <t>Leadership engagement</t>
    </r>
    <r>
      <rPr>
        <sz val="11"/>
        <color theme="1"/>
        <rFont val="Calibri"/>
        <family val="2"/>
        <scheme val="minor"/>
      </rPr>
      <t xml:space="preserve"> (presenting at meetings, allocating budgets, submitting proposals, seeking partnerships etc.)
</t>
    </r>
    <r>
      <rPr>
        <b/>
        <sz val="11"/>
        <color theme="1"/>
        <rFont val="Calibri"/>
        <family val="2"/>
        <scheme val="minor"/>
      </rPr>
      <t>Staff engagement</t>
    </r>
    <r>
      <rPr>
        <sz val="11"/>
        <color theme="1"/>
        <rFont val="Calibri"/>
        <family val="2"/>
        <scheme val="minor"/>
      </rPr>
      <t xml:space="preserve"> (training, new hires, work plan development, target setting, events within operations and with communities)
</t>
    </r>
    <r>
      <rPr>
        <b/>
        <sz val="11"/>
        <color theme="1"/>
        <rFont val="Calibri"/>
        <family val="2"/>
        <scheme val="minor"/>
      </rPr>
      <t>Influencing supplier</t>
    </r>
    <r>
      <rPr>
        <sz val="11"/>
        <color theme="1"/>
        <rFont val="Calibri"/>
        <family val="2"/>
        <scheme val="minor"/>
      </rPr>
      <t xml:space="preserve">s (Requiring info on carbon/environmental impacts and actions, using data as criteria for selection, negotiating  products with less environmental impact)
</t>
    </r>
    <r>
      <rPr>
        <b/>
        <sz val="11"/>
        <color theme="1"/>
        <rFont val="Calibri"/>
        <family val="2"/>
        <scheme val="minor"/>
      </rPr>
      <t>Pharmaceuticals, inhalers and anaesthetic gases</t>
    </r>
    <r>
      <rPr>
        <sz val="11"/>
        <color theme="1"/>
        <rFont val="Calibri"/>
        <family val="2"/>
        <scheme val="minor"/>
      </rPr>
      <t xml:space="preserve"> (reducing volumes and making lower carbon choices)
</t>
    </r>
    <r>
      <rPr>
        <b/>
        <sz val="11"/>
        <color theme="1"/>
        <rFont val="Calibri"/>
        <family val="2"/>
        <scheme val="minor"/>
      </rPr>
      <t>Energy</t>
    </r>
    <r>
      <rPr>
        <sz val="11"/>
        <color theme="1"/>
        <rFont val="Calibri"/>
        <family val="2"/>
        <scheme val="minor"/>
      </rPr>
      <t xml:space="preserve"> (reducing consumption, reducing use of fossil fuels, switching to renewables)
</t>
    </r>
    <r>
      <rPr>
        <b/>
        <sz val="11"/>
        <color theme="1"/>
        <rFont val="Calibri"/>
        <family val="2"/>
        <scheme val="minor"/>
      </rPr>
      <t>Refrigerants</t>
    </r>
    <r>
      <rPr>
        <sz val="11"/>
        <color theme="1"/>
        <rFont val="Calibri"/>
        <family val="2"/>
        <scheme val="minor"/>
      </rPr>
      <t xml:space="preserve"> (reducing leakage and greener alternatives)
</t>
    </r>
    <r>
      <rPr>
        <b/>
        <sz val="11"/>
        <color theme="1"/>
        <rFont val="Calibri"/>
        <family val="2"/>
        <scheme val="minor"/>
      </rPr>
      <t>Transport</t>
    </r>
    <r>
      <rPr>
        <sz val="11"/>
        <color theme="1"/>
        <rFont val="Calibri"/>
        <family val="2"/>
        <scheme val="minor"/>
      </rPr>
      <t xml:space="preserve"> (reducing and finding greener alternatives)
</t>
    </r>
    <r>
      <rPr>
        <b/>
        <sz val="11"/>
        <color theme="1"/>
        <rFont val="Calibri"/>
        <family val="2"/>
        <scheme val="minor"/>
      </rPr>
      <t xml:space="preserve">Buildings </t>
    </r>
    <r>
      <rPr>
        <sz val="11"/>
        <color theme="1"/>
        <rFont val="Calibri"/>
        <family val="2"/>
        <scheme val="minor"/>
      </rPr>
      <t xml:space="preserve">(energy and water efficiencies)
</t>
    </r>
    <r>
      <rPr>
        <b/>
        <sz val="11"/>
        <color theme="1"/>
        <rFont val="Calibri"/>
        <family val="2"/>
        <scheme val="minor"/>
      </rPr>
      <t>Energy (</t>
    </r>
    <r>
      <rPr>
        <sz val="11"/>
        <color theme="1"/>
        <rFont val="Calibri"/>
        <family val="2"/>
        <scheme val="minor"/>
      </rPr>
      <t xml:space="preserve">energy efficient equipment)
</t>
    </r>
    <r>
      <rPr>
        <b/>
        <sz val="11"/>
        <color theme="1"/>
        <rFont val="Calibri"/>
        <family val="2"/>
        <scheme val="minor"/>
      </rPr>
      <t>Food</t>
    </r>
    <r>
      <rPr>
        <sz val="11"/>
        <color theme="1"/>
        <rFont val="Calibri"/>
        <family val="2"/>
        <scheme val="minor"/>
      </rPr>
      <t xml:space="preserve"> (reducing carbon/water impact and providing healthier options)
</t>
    </r>
    <r>
      <rPr>
        <b/>
        <sz val="11"/>
        <color theme="1"/>
        <rFont val="Calibri"/>
        <family val="2"/>
        <scheme val="minor"/>
      </rPr>
      <t>Waste</t>
    </r>
    <r>
      <rPr>
        <sz val="11"/>
        <color theme="1"/>
        <rFont val="Calibri"/>
        <family val="2"/>
        <scheme val="minor"/>
      </rPr>
      <t xml:space="preserve"> (reducing waste, recycling, better incineration practices etc)
</t>
    </r>
    <r>
      <rPr>
        <b/>
        <sz val="11"/>
        <color theme="1"/>
        <rFont val="Calibri"/>
        <family val="2"/>
        <scheme val="minor"/>
      </rPr>
      <t>Water</t>
    </r>
    <r>
      <rPr>
        <sz val="11"/>
        <color theme="1"/>
        <rFont val="Calibri"/>
        <family val="2"/>
        <scheme val="minor"/>
      </rPr>
      <t xml:space="preserve"> (reducing waste)
</t>
    </r>
    <r>
      <rPr>
        <b/>
        <sz val="11"/>
        <color theme="1"/>
        <rFont val="Calibri"/>
        <family val="2"/>
        <scheme val="minor"/>
      </rPr>
      <t xml:space="preserve">Government engagement </t>
    </r>
    <r>
      <rPr>
        <sz val="11"/>
        <color theme="1"/>
        <rFont val="Calibri"/>
        <family val="2"/>
        <scheme val="minor"/>
      </rPr>
      <t>(state types and intent of engagement, e.g. collaborations, training etc)</t>
    </r>
  </si>
  <si>
    <t>Narrative</t>
  </si>
  <si>
    <t>Describe and explain to any important trends or change since the last report</t>
  </si>
  <si>
    <t>Please detail any initiatives or actions you are currently undertaking and update the status of actions you have logged previously.</t>
  </si>
  <si>
    <t>Please also include information on any local targets you have in place and any progress made against these.</t>
  </si>
  <si>
    <t>Estimated cost savings this Quarter</t>
  </si>
  <si>
    <t>$</t>
  </si>
  <si>
    <t>Estimated carbon savings this Quarter</t>
  </si>
  <si>
    <t>tonnes</t>
  </si>
  <si>
    <t>Action reference (add more as necessary)</t>
  </si>
  <si>
    <t>Building where action is taking place</t>
  </si>
  <si>
    <t>Action area</t>
  </si>
  <si>
    <t>Date started</t>
  </si>
  <si>
    <t>Date expected to be complete</t>
  </si>
  <si>
    <t>Status</t>
  </si>
  <si>
    <t>Details of  action and expected impact</t>
  </si>
  <si>
    <t xml:space="preserve">Indicative budget </t>
  </si>
  <si>
    <t>Drop down lists</t>
  </si>
  <si>
    <t>Enter building or site</t>
  </si>
  <si>
    <t>select from dropdown</t>
  </si>
  <si>
    <t>MM/YYYY</t>
  </si>
  <si>
    <t>Select from dropdown</t>
  </si>
  <si>
    <t>Text description</t>
  </si>
  <si>
    <t>US Dollars ($)</t>
  </si>
  <si>
    <t>Kilogrammes</t>
  </si>
  <si>
    <t>Type of action</t>
  </si>
  <si>
    <t>Site</t>
  </si>
  <si>
    <t>Action 1</t>
  </si>
  <si>
    <t>Leadership engagement</t>
  </si>
  <si>
    <t>Several sites</t>
  </si>
  <si>
    <t>Planned</t>
  </si>
  <si>
    <t>Action 2</t>
  </si>
  <si>
    <t>Staff engagement</t>
  </si>
  <si>
    <t>Across all sites</t>
  </si>
  <si>
    <t>Started</t>
  </si>
  <si>
    <t>Action 3</t>
  </si>
  <si>
    <t>Influencing suppliers</t>
  </si>
  <si>
    <t>Not linked to a site</t>
  </si>
  <si>
    <t>In progress (25%)</t>
  </si>
  <si>
    <t>Action 4</t>
  </si>
  <si>
    <t>Pharmaceuticals and anaesthetic gases</t>
  </si>
  <si>
    <t>In progress (50%)</t>
  </si>
  <si>
    <t>Action 5</t>
  </si>
  <si>
    <t>Energy</t>
  </si>
  <si>
    <t>In progress (75%)</t>
  </si>
  <si>
    <t>Action 6</t>
  </si>
  <si>
    <t>Complete</t>
  </si>
  <si>
    <t>Action 7</t>
  </si>
  <si>
    <t>Transport</t>
  </si>
  <si>
    <t>Delayed</t>
  </si>
  <si>
    <t>Action 8</t>
  </si>
  <si>
    <t>Buildings</t>
  </si>
  <si>
    <t>Cancelled</t>
  </si>
  <si>
    <t>Action 9</t>
  </si>
  <si>
    <t>Action 10</t>
  </si>
  <si>
    <t>Food</t>
  </si>
  <si>
    <t>Action 11</t>
  </si>
  <si>
    <t>Action 12</t>
  </si>
  <si>
    <t>Action 13</t>
  </si>
  <si>
    <t>Government engagement</t>
  </si>
  <si>
    <t>Action 14</t>
  </si>
  <si>
    <t>Action 15</t>
  </si>
  <si>
    <t>Action 16</t>
  </si>
  <si>
    <t>Action 17</t>
  </si>
  <si>
    <t>Action 18</t>
  </si>
  <si>
    <t>Action 19</t>
  </si>
  <si>
    <t>Action 20</t>
  </si>
  <si>
    <t>Action 21</t>
  </si>
  <si>
    <t>Action 22</t>
  </si>
  <si>
    <t>Action 23</t>
  </si>
  <si>
    <t>Action 24</t>
  </si>
  <si>
    <t>Action 25</t>
  </si>
  <si>
    <t>Action 26</t>
  </si>
  <si>
    <t>Action 27</t>
  </si>
  <si>
    <t>Action 28</t>
  </si>
  <si>
    <t>Action 29</t>
  </si>
  <si>
    <t>Action 30</t>
  </si>
  <si>
    <t>Action 31</t>
  </si>
  <si>
    <t>Action 32</t>
  </si>
  <si>
    <t>Action 33</t>
  </si>
  <si>
    <t>Action 34</t>
  </si>
  <si>
    <t>Action 35</t>
  </si>
  <si>
    <t>Action 36</t>
  </si>
  <si>
    <t>Action 37</t>
  </si>
  <si>
    <t>Action 38</t>
  </si>
  <si>
    <t>Action 39</t>
  </si>
  <si>
    <t>Action 40</t>
  </si>
  <si>
    <t>Action 41</t>
  </si>
  <si>
    <t>Action 42</t>
  </si>
  <si>
    <t>Action 43</t>
  </si>
  <si>
    <t>Action 44</t>
  </si>
  <si>
    <t>Action 45</t>
  </si>
  <si>
    <t>Action 46</t>
  </si>
  <si>
    <t>Action 47</t>
  </si>
  <si>
    <t>Action 48</t>
  </si>
  <si>
    <t>Action 49</t>
  </si>
  <si>
    <t>Action 50</t>
  </si>
  <si>
    <t>Action 51</t>
  </si>
  <si>
    <t>Action 52</t>
  </si>
  <si>
    <t>Action 53</t>
  </si>
  <si>
    <t>Action 54</t>
  </si>
  <si>
    <t>Action 55</t>
  </si>
  <si>
    <t>Action 56</t>
  </si>
  <si>
    <t>Action 57</t>
  </si>
  <si>
    <t>Action 58</t>
  </si>
  <si>
    <t>Action 59</t>
  </si>
  <si>
    <t>Action 60</t>
  </si>
  <si>
    <t>Input cells are marked pink 
(Cells essential for calculations are in dark pink)</t>
  </si>
  <si>
    <r>
      <rPr>
        <b/>
        <sz val="11"/>
        <color theme="1"/>
        <rFont val="Calibri"/>
        <family val="2"/>
        <scheme val="minor"/>
      </rPr>
      <t>The carbon outputs from this sheet are health sector specific.
Top-down footprinting</t>
    </r>
    <r>
      <rPr>
        <sz val="11"/>
        <color theme="1"/>
        <rFont val="Calibri"/>
        <family val="2"/>
        <scheme val="minor"/>
      </rPr>
      <t xml:space="preserve"> (Referred to in this workbook as Tier 1) is only intended for very high level Scoping. Emissions on this sheet are calculated using country level health sector emissions intensities, or the average emissions intensities for the health sectors of several grouped countries. These averages are applied to your total </t>
    </r>
    <r>
      <rPr>
        <b/>
        <i/>
        <sz val="11"/>
        <color theme="1"/>
        <rFont val="Calibri"/>
        <family val="2"/>
        <scheme val="minor"/>
      </rPr>
      <t>pay and non pay spend</t>
    </r>
    <r>
      <rPr>
        <sz val="11"/>
        <color theme="1"/>
        <rFont val="Calibri"/>
        <family val="2"/>
        <scheme val="minor"/>
      </rPr>
      <t>. We have derived these factors from data in published literature. Some averages have very small sample sizes. There is also a lot of variation in health sector emissions intensities between countries. There is very limited carbon intensity data available for Low-Income and Low and Middle-Income Countries. As such Tier 1 figures can only serve as a low confidence indicator of scale. The carbon intensity factors that are available usually cover all national healthcare provision, which may include primary, secondary, and tertiary care as well as public health. As such calculations may significantly under or over estimate emissions when applied to specific healthcare providers.</t>
    </r>
  </si>
  <si>
    <t>Select the name of your country, region or international economic classification (Only a few countries have nation specific factors)</t>
  </si>
  <si>
    <t>Low-Mid Income_ average</t>
  </si>
  <si>
    <t>Number of country data points used to generate average</t>
  </si>
  <si>
    <t xml:space="preserve">Enter your total spend over the period in US$1000's (This must include all spend, both Pay and Non-Pay)  </t>
  </si>
  <si>
    <t xml:space="preserve">This sheet covers background information on your buildings, sites or campus. This means buildings owned, rented or occupied by the reporting organisation. Most questions are Yes/No, some require limited text or numerical data. </t>
  </si>
  <si>
    <t>Describe and explain to any important trends or changes since the last report, have new buildings opened or buildings closed as well as changes to existing buildings</t>
  </si>
  <si>
    <r>
      <t>Only report a maximum of 30 building, campuses or sites per sheet, a single campus or site can be reported as 1 record if appropriate.  Where there are multiple very small sites, these may be aggregated and reported as a single record. As far as possible throughout this workbook data should be reported to a site or building level. Data and sites should only be aggregated where it is not possible to report at a site or building level. If necessary, an additional workbook can be used for each batch of 30 records. The 'Building, campus or site name' cells are essential and must be completed before populating other sheets.</t>
    </r>
    <r>
      <rPr>
        <b/>
        <sz val="11"/>
        <color theme="1"/>
        <rFont val="Calibri"/>
        <family val="2"/>
        <scheme val="minor"/>
      </rPr>
      <t xml:space="preserve"> If you make changes to 'Building, campus or site names' on this sheet </t>
    </r>
    <r>
      <rPr>
        <b/>
        <i/>
        <sz val="11"/>
        <color theme="1"/>
        <rFont val="Calibri"/>
        <family val="2"/>
        <scheme val="minor"/>
      </rPr>
      <t>after</t>
    </r>
    <r>
      <rPr>
        <b/>
        <sz val="11"/>
        <color theme="1"/>
        <rFont val="Calibri"/>
        <family val="2"/>
        <scheme val="minor"/>
      </rPr>
      <t xml:space="preserve"> having completed the workbook, such as spelling corrections, these changes will not automatically update throughout the workbook. In this case you will need to review the entries on each data sheet to ensure they are updated in line with changes made here.</t>
    </r>
    <r>
      <rPr>
        <sz val="11"/>
        <color theme="1"/>
        <rFont val="Calibri"/>
        <family val="2"/>
        <scheme val="minor"/>
      </rPr>
      <t xml:space="preserve">  To enable benchmarking on the 'Buildings Totals &amp; Benchmarking' sheet you will need to include a building floor area for each line. </t>
    </r>
  </si>
  <si>
    <t>This sheet need only be completed in full once. Information provided here will help with validation of data (e.g., if a site Is identified as having  generators, you would expect to see generator fuel data reported on Table 6- Liquid fuels on the 'Energy' sheet). Information provided will also help in planning appropriate interventions. Any significant changes since the last report can be highlighted in the 'Narrative' box.</t>
  </si>
  <si>
    <t>Building, campus or site number</t>
  </si>
  <si>
    <t>Building, campus or site name</t>
  </si>
  <si>
    <t>Building, campus or site location, nearest city or town?</t>
  </si>
  <si>
    <t>Is the building, campus or site owned by your organisation or agency, named below?</t>
  </si>
  <si>
    <t>If the building, campus or site is owned by another organisation or agency enter the name here</t>
  </si>
  <si>
    <t>How many petrol or diesel generators does the building, campus or site have?</t>
  </si>
  <si>
    <t>Are these generators owned by your organisation or agency?</t>
  </si>
  <si>
    <t>Year of construction</t>
  </si>
  <si>
    <t>Is this building, campus or site existing, newly built, closed, or under construction?</t>
  </si>
  <si>
    <t>How many buildings are covered under this record?</t>
  </si>
  <si>
    <t xml:space="preserve">How much area does the building/s cover in square metres? (excluding grounds and outside areas) </t>
  </si>
  <si>
    <t xml:space="preserve">How much land does the building/s have in in square metres? (excluding areas covered by buildings  already counted in Cell I5) </t>
  </si>
  <si>
    <t xml:space="preserve">What type of building, campus or site is this? </t>
  </si>
  <si>
    <t>If other in cell K5, what type of building is this?</t>
  </si>
  <si>
    <t>Does the building, campus or site have a grid electricity supply?</t>
  </si>
  <si>
    <t>Is the grid supply inconsistent or intermittent?</t>
  </si>
  <si>
    <t>Is any of the building, campus or site electricity demand supplied by on site solar panels? </t>
  </si>
  <si>
    <t>Is any of the buildings heat supplied by solar water heating</t>
  </si>
  <si>
    <t>Are there any other types of renewable energy on site? (e.g. heat pumps, biogas, or hydropower)</t>
  </si>
  <si>
    <t>What is the total capacity (KW) the generators at the site?</t>
  </si>
  <si>
    <t>Does the building, campus or site have battery storage to backup the main building electricity supply (i.e. more than equipment UPS)</t>
  </si>
  <si>
    <t>Does the building, campus or site have a local grid gas supply?</t>
  </si>
  <si>
    <t>Is the gas supply inconsistent or intermittent?</t>
  </si>
  <si>
    <t>What energy source/fuel, if any, provides most of the heating/cooling energy for the buildings?</t>
  </si>
  <si>
    <t>What technology, if any, provides most of the cooling for the buildings?</t>
  </si>
  <si>
    <t>How many building integrated (non-portable) air conditioning units are there?  </t>
  </si>
  <si>
    <t>Are anaesthetics gases (nitrous oxide or surgical gases) used in the building/s?  </t>
  </si>
  <si>
    <t>Does the building, campus or site have a local piped water supply?</t>
  </si>
  <si>
    <t>Is the water supply inconsistent or intermittent?</t>
  </si>
  <si>
    <t>Does the building, campus or site have its own onsite water treatment system?</t>
  </si>
  <si>
    <t>Does the building/s get any of its water from a well or boreholes?</t>
  </si>
  <si>
    <t>Does the building/s have rainwater collection? </t>
  </si>
  <si>
    <t>Is solid waste separated into different types to be taken away?</t>
  </si>
  <si>
    <t>What different solid waste streams does the building, campus or site generate?</t>
  </si>
  <si>
    <t>Does the building/s have its own incinerator on the grounds or nearby?</t>
  </si>
  <si>
    <t>Does the building/s have an internet connection?</t>
  </si>
  <si>
    <t>Is the connection inconsistent or intermittent? </t>
  </si>
  <si>
    <t>Does the building/s have a car park?</t>
  </si>
  <si>
    <t>Are your own vehicles regularly parked in the building’s carpark?</t>
  </si>
  <si>
    <t>Text</t>
  </si>
  <si>
    <t xml:space="preserve">Y/N  </t>
  </si>
  <si>
    <t xml:space="preserve">Name </t>
  </si>
  <si>
    <t>Number</t>
  </si>
  <si>
    <t xml:space="preserve">Y/N </t>
  </si>
  <si>
    <t>Year</t>
  </si>
  <si>
    <t>Number (m2)</t>
  </si>
  <si>
    <t>Y/N</t>
  </si>
  <si>
    <t>y</t>
  </si>
  <si>
    <t>Y</t>
  </si>
  <si>
    <t>Dropdown lists</t>
  </si>
  <si>
    <t>Building changes</t>
  </si>
  <si>
    <t>Building type</t>
  </si>
  <si>
    <t>newly built</t>
  </si>
  <si>
    <t>Hospital</t>
  </si>
  <si>
    <t>closed</t>
  </si>
  <si>
    <t>N</t>
  </si>
  <si>
    <t>Medical Centre</t>
  </si>
  <si>
    <t>existing</t>
  </si>
  <si>
    <t xml:space="preserve"> </t>
  </si>
  <si>
    <t>Field Office</t>
  </si>
  <si>
    <t>under construction</t>
  </si>
  <si>
    <t>Regional Office</t>
  </si>
  <si>
    <t>Health Centre</t>
  </si>
  <si>
    <t>Dispensary</t>
  </si>
  <si>
    <t>National/Central Office</t>
  </si>
  <si>
    <t>Education (schools)</t>
  </si>
  <si>
    <t>Education (further and higher)</t>
  </si>
  <si>
    <t>Community Centre</t>
  </si>
  <si>
    <t>Residential and nursing homes</t>
  </si>
  <si>
    <t>Student accommodation</t>
  </si>
  <si>
    <t>Warehouse</t>
  </si>
  <si>
    <t>Factory</t>
  </si>
  <si>
    <t>Garage</t>
  </si>
  <si>
    <t>Aircraft storage</t>
  </si>
  <si>
    <t>Other educational facility</t>
  </si>
  <si>
    <t>Catering</t>
  </si>
  <si>
    <t>Retail</t>
  </si>
  <si>
    <t>Sports and recreation</t>
  </si>
  <si>
    <t>Hotel</t>
  </si>
  <si>
    <t>Entertainment</t>
  </si>
  <si>
    <t>Industrial buildings</t>
  </si>
  <si>
    <t>Offices (other)</t>
  </si>
  <si>
    <t>Health (other)</t>
  </si>
  <si>
    <t xml:space="preserve">This sheet covers all electricity, energy and fuel combustion in buildings and generators (solid, liquid and gaseous fuels, renewable electricity and grid electricity). </t>
  </si>
  <si>
    <t>Describe and explain to any important trends or changes since the last report</t>
  </si>
  <si>
    <t>All the buildings that have been entered in the 'Buildings' sheet are available in the dropdown boxes in Column B. There are up to 7 tables to complete, one table for each type of energy source. You may not need to input information into all cells or all tables.  If you occupy only a percentage of the floor area of a building, only report that same percentage of the buildings total energy use.</t>
  </si>
  <si>
    <t xml:space="preserve">Carbon factors will only populate correctly if you have selected a country on the 'Cover Sheet'. Where possible all data should be reported against individual buildings, sites or campuses. If this is not possible for a group of sites, data may be provided aggregated for these sites. If this is the case, select the 'Several sites' option in Column B and indicate in the notes the number and type of sites being reported on. (e.g. 5xMedical Outreach Centres).  </t>
  </si>
  <si>
    <r>
      <rPr>
        <b/>
        <sz val="11"/>
        <color theme="1"/>
        <rFont val="Calibri"/>
        <family val="2"/>
        <scheme val="minor"/>
      </rPr>
      <t>Note:</t>
    </r>
    <r>
      <rPr>
        <sz val="11"/>
        <color theme="1"/>
        <rFont val="Calibri"/>
        <family val="2"/>
        <scheme val="minor"/>
      </rPr>
      <t xml:space="preserve"> As this workbook assigns emissions Scopes on the basis of Operational Control, all emissions arising from owned or rented buildings will be classed as Scope 1 (fuel use) or 2 (electricity). A separate workbook is available if you wish to account by Financial control. This workbook does not automatically calculate Scope 3 emissions associated with the supply of energy or 'Out of Scopes' emissions associated with biomass sources. </t>
    </r>
  </si>
  <si>
    <t>The annual energy output from solar panel systems in your region can be estimated using this tool</t>
  </si>
  <si>
    <t xml:space="preserve">https://pvwatts.nrel.gov/pvwatts.php </t>
  </si>
  <si>
    <r>
      <rPr>
        <b/>
        <sz val="11"/>
        <color theme="1"/>
        <rFont val="Calibri"/>
        <family val="2"/>
        <scheme val="minor"/>
      </rPr>
      <t>NOTE: User supplied emissions factors.</t>
    </r>
    <r>
      <rPr>
        <sz val="11"/>
        <color theme="1"/>
        <rFont val="Calibri"/>
        <family val="2"/>
        <scheme val="minor"/>
      </rPr>
      <t xml:space="preserve"> You should always seek to supply an accurate local factor for electricity where possible. Source these from your government, the International Energy Agency or, if appropriate, use a site specific factor.  Ensure the factor </t>
    </r>
    <r>
      <rPr>
        <i/>
        <sz val="11"/>
        <color theme="1"/>
        <rFont val="Calibri"/>
        <family val="2"/>
        <scheme val="minor"/>
      </rPr>
      <t>excludes</t>
    </r>
    <r>
      <rPr>
        <sz val="11"/>
        <color theme="1"/>
        <rFont val="Calibri"/>
        <family val="2"/>
        <scheme val="minor"/>
      </rPr>
      <t xml:space="preserve"> Scope 3 'Well to Tank', 'Trade' or 'Transmission and Distribution' emissions. If unknown leave this blank, a default factor will be used. The default factors include some Scope 3 elements, so may overestimate your Scope 2 footprint. This will typically be by 4-13% as default factors includes 'T+D', 'Trade' and 'Well to Tank' elements. Though any overestimate based on default factors could be higher than this.  Using the default factor reduces the calculated quality score for that line by 20%</t>
    </r>
  </si>
  <si>
    <t>WEIGHTED DATA QUALITY SCORE</t>
  </si>
  <si>
    <t>%</t>
  </si>
  <si>
    <t>The weighted data quality score is derived from all the data submitted on this sheet. It is a function of the data quality and amount of units reported in each line completed in this sheet. For 100% you cannot use the default electricity emissions factors,  Scope 2 factors from the IEA or your national government need to be entered.</t>
  </si>
  <si>
    <t>Jump to:</t>
  </si>
  <si>
    <t>Total CO2</t>
  </si>
  <si>
    <t>Total CH4</t>
  </si>
  <si>
    <t>Total N20</t>
  </si>
  <si>
    <t>Table 1: Grid supplied electricity</t>
  </si>
  <si>
    <t xml:space="preserve">Table 2: Renewable electricity generated </t>
  </si>
  <si>
    <t>Table 3: Grid supplied gas</t>
  </si>
  <si>
    <t>Table 4: Gas cylinders or tanks</t>
  </si>
  <si>
    <t>Table 5: Solid fuel</t>
  </si>
  <si>
    <t>Table 6: Liquid fuel</t>
  </si>
  <si>
    <t>Table 7: Heat networks</t>
  </si>
  <si>
    <t xml:space="preserve">Table 1: Grid supplied electricity </t>
  </si>
  <si>
    <t>Electricity Supplied to:</t>
  </si>
  <si>
    <t>Fuel type</t>
  </si>
  <si>
    <t>Units used</t>
  </si>
  <si>
    <t>Amount used</t>
  </si>
  <si>
    <t>Data quality</t>
  </si>
  <si>
    <t>Quality weighting</t>
  </si>
  <si>
    <t>Cost per unit</t>
  </si>
  <si>
    <t xml:space="preserve">Cost per unit </t>
  </si>
  <si>
    <t>If known enter a Scope 2 emissions factor for supplied electricity to your site (kgCO2e/KWh)</t>
  </si>
  <si>
    <t>Building owned</t>
  </si>
  <si>
    <t>Generators owned</t>
  </si>
  <si>
    <t xml:space="preserve">Conversion factor </t>
  </si>
  <si>
    <r>
      <t>CO</t>
    </r>
    <r>
      <rPr>
        <b/>
        <vertAlign val="subscript"/>
        <sz val="11"/>
        <color theme="1"/>
        <rFont val="Calibri"/>
        <family val="2"/>
        <scheme val="minor"/>
      </rPr>
      <t xml:space="preserve">2 </t>
    </r>
    <r>
      <rPr>
        <b/>
        <sz val="11"/>
        <color theme="1"/>
        <rFont val="Calibri"/>
        <family val="2"/>
        <scheme val="minor"/>
      </rPr>
      <t xml:space="preserve">emissions </t>
    </r>
  </si>
  <si>
    <t>Scope of emissions</t>
  </si>
  <si>
    <t>Manually select Scope</t>
  </si>
  <si>
    <t xml:space="preserve">Expenditure </t>
  </si>
  <si>
    <t>Carbon emissions factor Source</t>
  </si>
  <si>
    <t>Gas type</t>
  </si>
  <si>
    <t>Solid fuel type</t>
  </si>
  <si>
    <t>Liquid fuel type</t>
  </si>
  <si>
    <t>Quality</t>
  </si>
  <si>
    <t>Type of renewable energy system</t>
  </si>
  <si>
    <r>
      <t xml:space="preserve">National or local grid only. </t>
    </r>
    <r>
      <rPr>
        <b/>
        <i/>
        <sz val="11"/>
        <color rgb="FFFF0000"/>
        <rFont val="Calibri"/>
        <family val="2"/>
        <scheme val="minor"/>
      </rPr>
      <t>Do not include any electricity that you generate onsite.</t>
    </r>
  </si>
  <si>
    <t>Select site/building from dropdown</t>
  </si>
  <si>
    <t>Supplied</t>
  </si>
  <si>
    <t>US Dollars</t>
  </si>
  <si>
    <t>Number (see note above)</t>
  </si>
  <si>
    <t>Y/N/ Unknown</t>
  </si>
  <si>
    <t>kgCO2e/unit (see note above)</t>
  </si>
  <si>
    <t>kg CO2e (The highest values are shaded red check these carefully)</t>
  </si>
  <si>
    <t>SC1,2,3</t>
  </si>
  <si>
    <t xml:space="preserve">Only use if cell is highlighted red </t>
  </si>
  <si>
    <t>Kilowatt hours (KWh)</t>
  </si>
  <si>
    <t>Natural gas</t>
  </si>
  <si>
    <t>Coal</t>
  </si>
  <si>
    <t>Generator Petrol</t>
  </si>
  <si>
    <t>(High)Meter reading or delivery records</t>
  </si>
  <si>
    <t>Solar panels</t>
  </si>
  <si>
    <t>Kilograms (kg)</t>
  </si>
  <si>
    <t>Biogas</t>
  </si>
  <si>
    <t>Wood chips</t>
  </si>
  <si>
    <t>Generator Diesel or Gas oil</t>
  </si>
  <si>
    <t xml:space="preserve">(Medium)Suppliers bills </t>
  </si>
  <si>
    <t>Wind power</t>
  </si>
  <si>
    <t>Litres (l)</t>
  </si>
  <si>
    <t>Biomethane</t>
  </si>
  <si>
    <t>Wood logs</t>
  </si>
  <si>
    <t>Non-Generator Diesel or Gas oil</t>
  </si>
  <si>
    <t>(Low)Copied from last quarter</t>
  </si>
  <si>
    <t>Hydro power</t>
  </si>
  <si>
    <r>
      <t>Cubic metres (m</t>
    </r>
    <r>
      <rPr>
        <vertAlign val="superscript"/>
        <sz val="11"/>
        <rFont val="Calibri"/>
        <family val="2"/>
      </rPr>
      <t>3</t>
    </r>
    <r>
      <rPr>
        <sz val="11"/>
        <rFont val="Calibri"/>
        <family val="2"/>
      </rPr>
      <t>)</t>
    </r>
  </si>
  <si>
    <t>Liquid Petroleum Gas (LPG)</t>
  </si>
  <si>
    <t>Wood pellets</t>
  </si>
  <si>
    <t>Non-Generator Petrol</t>
  </si>
  <si>
    <t>(Low)Estimated</t>
  </si>
  <si>
    <t>Out of Scopes</t>
  </si>
  <si>
    <t>Energy from waste</t>
  </si>
  <si>
    <t>Liquid Natural Gas (LNG)</t>
  </si>
  <si>
    <t>Charcoal</t>
  </si>
  <si>
    <t>Kerosene or Burning oil</t>
  </si>
  <si>
    <t>Select Scope from dropdown</t>
  </si>
  <si>
    <t>Compressed Natural Gas (CNG)</t>
  </si>
  <si>
    <t>Grasses/Straw/other biomass</t>
  </si>
  <si>
    <t>Fuel oil or Heavy oil</t>
  </si>
  <si>
    <t>Butane</t>
  </si>
  <si>
    <t>Other solid fuel</t>
  </si>
  <si>
    <t>Naphtha</t>
  </si>
  <si>
    <t>Propane</t>
  </si>
  <si>
    <t>Waste oils</t>
  </si>
  <si>
    <t>Other gaseous fuel</t>
  </si>
  <si>
    <t>Biodiesel</t>
  </si>
  <si>
    <t>Bioethanol</t>
  </si>
  <si>
    <t>Other liquid fuel</t>
  </si>
  <si>
    <t>Table 2: Renewable electricity generated onsite from your own energy systems</t>
  </si>
  <si>
    <t>Renewable electricity generated at:</t>
  </si>
  <si>
    <t>Total amount generated</t>
  </si>
  <si>
    <t>Generating technology</t>
  </si>
  <si>
    <t>If known- amount exported off site for use by others</t>
  </si>
  <si>
    <t>If known- amount used on site</t>
  </si>
  <si>
    <t>Indicative saving in energy costs, if reducing power consumption from the national power grid</t>
  </si>
  <si>
    <t>Typically solar panels or wind power (see Cell J6 if you need to estimate solar panel output)</t>
  </si>
  <si>
    <t>Number (KWh)</t>
  </si>
  <si>
    <t>Number (Source this from your government, the International Energy Agency or if appropriate use a site specific factor. If unknown leave this blank, a default factor will be used. Exclude any factor for Scope 3 Well to Tank or Transmission and Distribution emissions)</t>
  </si>
  <si>
    <t>kgCO2e/unit</t>
  </si>
  <si>
    <t>CO2 saved vs if displacing national grid supply</t>
  </si>
  <si>
    <t>Electricity|Renewable</t>
  </si>
  <si>
    <t>Not Applicable</t>
  </si>
  <si>
    <t>Grid gas used at:</t>
  </si>
  <si>
    <t>Notes</t>
  </si>
  <si>
    <t>Only include gas supplied through gas mains/pipelines from a national, municipal or local gas supply company. Add together fuel used for generators, heating or cooking by fuel type</t>
  </si>
  <si>
    <t xml:space="preserve">Is this natural gas, or biogas from sewage or farm waste? </t>
  </si>
  <si>
    <t>Bottled gas used at:</t>
  </si>
  <si>
    <t>Typically LPG, CNG, Butane or Propane. Add together fuel used for generators, heating or cooking by fuel type</t>
  </si>
  <si>
    <t>Number of units</t>
  </si>
  <si>
    <t>Is this from mobile cylinders or large fixed tanks. If other gas, what gas?</t>
  </si>
  <si>
    <t>Solid fuel used at:</t>
  </si>
  <si>
    <t>Typically wood fuels or coal. Add together fuel used for generators, heating or cooking by fuel type</t>
  </si>
  <si>
    <t>If other solid fuel, what is it?</t>
  </si>
  <si>
    <t>Liquid Fuel used at:</t>
  </si>
  <si>
    <t>If the fuel you use is a biofuel blend (e.g.B20, E5) enter the percentage biofuel content here.</t>
  </si>
  <si>
    <t>Typically petrol or diesel used for generators or heating. Report generator and non-generator fuels on separate lines.</t>
  </si>
  <si>
    <t>Generator fuel Scope</t>
  </si>
  <si>
    <t>Non-Generator fuel Scope</t>
  </si>
  <si>
    <t>Heat used at:</t>
  </si>
  <si>
    <t>If known, emissions factor for supplied heat (kgCO2e/KWh)</t>
  </si>
  <si>
    <t xml:space="preserve">Heat networks may be district heating or an onsite steam distribution system. These may be supplied with a range of energy sources. The heat supplier should be able to tell you the carbon intensity of the supplied energy. The default used in this table is Gas Combined Heat and Power. </t>
  </si>
  <si>
    <t>Number (source this from the supplier, if unknown leave blank)</t>
  </si>
  <si>
    <t>Transport makes up 23% of energy-related carbon emissions globally. Fossil fuel use in vehicles contributes to air pollution, noise and climate change. Moving to electric vehicles can cut an organisations travel related carbon emissions by well over 80%</t>
  </si>
  <si>
    <t xml:space="preserve">This sheet covers all fuel use in vehicles owned, rented or leased for use by your organisation. You should not report data on this sheet for contractors vehicles, staff communting or patient travel in their own vehicles. You may not need to put information in all cells </t>
  </si>
  <si>
    <t>In Column A you should select from the dropdown the building/site where the vehicles are based, or select one of the non site-specific options.</t>
  </si>
  <si>
    <t>It is possible to enter data for each individual vehicle, this can be useful for targeting investments. If more convenient you may enter the total amount of each fuel type used.</t>
  </si>
  <si>
    <r>
      <rPr>
        <b/>
        <sz val="11"/>
        <color theme="1"/>
        <rFont val="Calibri"/>
        <family val="2"/>
        <scheme val="minor"/>
      </rPr>
      <t>Note:</t>
    </r>
    <r>
      <rPr>
        <sz val="11"/>
        <color theme="1"/>
        <rFont val="Calibri"/>
        <family val="2"/>
        <scheme val="minor"/>
      </rPr>
      <t xml:space="preserve"> As this workbook assigns emissions Scopes on the basis of Operational control, all emissions arising from owned, leased or rented vehicles will be classed as Scope 1 (fuel use) or Scope 2 (electricity). This workbook does not calculate Scope 3 emissions associated with the supply of fuel or 'Out of Scopes' emissions associated with biomass sources. </t>
    </r>
  </si>
  <si>
    <r>
      <rPr>
        <b/>
        <sz val="11"/>
        <color theme="1"/>
        <rFont val="Calibri"/>
        <family val="2"/>
        <scheme val="minor"/>
      </rPr>
      <t xml:space="preserve">Note: </t>
    </r>
    <r>
      <rPr>
        <sz val="11"/>
        <color theme="1"/>
        <rFont val="Calibri"/>
        <family val="2"/>
        <scheme val="minor"/>
      </rPr>
      <t xml:space="preserve">If you do not know the amount of fuel that you have used, but have data on the distance your vehicles have travelled you can use the </t>
    </r>
    <r>
      <rPr>
        <b/>
        <i/>
        <sz val="11"/>
        <color theme="1"/>
        <rFont val="Calibri"/>
        <family val="2"/>
        <scheme val="minor"/>
      </rPr>
      <t xml:space="preserve">'Vehicle- Distance' </t>
    </r>
    <r>
      <rPr>
        <sz val="11"/>
        <color theme="1"/>
        <rFont val="Calibri"/>
        <family val="2"/>
        <scheme val="minor"/>
      </rPr>
      <t>sheet in this workbook. However, reporting on distance travelled is less actuate and will reduce the quality of the data in your report</t>
    </r>
  </si>
  <si>
    <t>Total CO2 (kg)</t>
  </si>
  <si>
    <t>Total CH4 (kg)</t>
  </si>
  <si>
    <t>Total N20 (kg)</t>
  </si>
  <si>
    <t xml:space="preserve">The weighted data quality score is derived from all the data submitted on this sheet. It is a function of the data quality and the amount of units reported in each line. </t>
  </si>
  <si>
    <t>Vehicle usually based at</t>
  </si>
  <si>
    <t>Main vehicle type (if more than one type, select the one that uses most of the fuel reported)</t>
  </si>
  <si>
    <t>No. of vehicles (Not used for calculation just for info.)</t>
  </si>
  <si>
    <t>Amount of units used</t>
  </si>
  <si>
    <t>Is the vehicle owned or leased by your organisation or agency?</t>
  </si>
  <si>
    <t>If the fuel you use is a biofuel blend (e.g.B20, E5) enter the percentage biofuel content here</t>
  </si>
  <si>
    <t>If fuel is 'Electricity', is energy used already counted in building energy use</t>
  </si>
  <si>
    <t xml:space="preserve">If fuel is 'Electricity', and you know the emissions factor for supplied electricity to your site enter it here </t>
  </si>
  <si>
    <t>Cost per unit fuel</t>
  </si>
  <si>
    <t>Fuel Type</t>
  </si>
  <si>
    <t>Vehicle type</t>
  </si>
  <si>
    <t>Data Quality</t>
  </si>
  <si>
    <t>Y (owned or leased)/N (rented)</t>
  </si>
  <si>
    <t>Select from dropdown in any pink cells</t>
  </si>
  <si>
    <t>Number (kgCO2e/KWh)</t>
  </si>
  <si>
    <t>Descriptive notes. e.g. What are the vehicles used for?</t>
  </si>
  <si>
    <t>Petrol (vehicle)</t>
  </si>
  <si>
    <t>Passenger cars</t>
  </si>
  <si>
    <t>(High)Site record of fuel used</t>
  </si>
  <si>
    <t>Kilometres(km)</t>
  </si>
  <si>
    <t>Diesel (vehicle)</t>
  </si>
  <si>
    <t>Light duty trucks(Vans, Pickup Trucks, SUVs under 3.5t)</t>
  </si>
  <si>
    <t>(Medium)calculated from milage</t>
  </si>
  <si>
    <t>LPG (vehicle)</t>
  </si>
  <si>
    <t>Medium duty vehicles (e.g. minibuses, and trucks under 7.5t)</t>
  </si>
  <si>
    <t>(Medium)estimated from spend</t>
  </si>
  <si>
    <t>Gallons (Ga)</t>
  </si>
  <si>
    <t>Biodiesel (vehicle)</t>
  </si>
  <si>
    <t xml:space="preserve">Heavy duty vehicles (e.g. busses and trucks over 7.5t)  </t>
  </si>
  <si>
    <t>(Low)copied from last Q</t>
  </si>
  <si>
    <t>Electricity (vehicle)</t>
  </si>
  <si>
    <t>Motorbike</t>
  </si>
  <si>
    <t>(Low)estimated</t>
  </si>
  <si>
    <t>Other fuel (vehicle)</t>
  </si>
  <si>
    <t>Ships and Boats</t>
  </si>
  <si>
    <t>Locomotives</t>
  </si>
  <si>
    <t>Aircraft</t>
  </si>
  <si>
    <t>Agricultural Equipment</t>
  </si>
  <si>
    <t>Agricultural Off-road Trucks</t>
  </si>
  <si>
    <t>Construction/Mining Equipment</t>
  </si>
  <si>
    <t>Construction/Mining Off-road Trucks</t>
  </si>
  <si>
    <t>Lawn and Garden Equipment</t>
  </si>
  <si>
    <t>Industrial/Commercial Equipment</t>
  </si>
  <si>
    <t>Logging Equipment</t>
  </si>
  <si>
    <t>Railroad Equipment</t>
  </si>
  <si>
    <t>Recreational Equipment</t>
  </si>
  <si>
    <t>ONLY COMPLETE THIS SHEET FOR VEHICLES WHERE YOU DO NOT HAVE DATA TO COMPLETE THE 'VEHICLE FUEL' SHEET</t>
  </si>
  <si>
    <t xml:space="preserve">This sheet covers kilometres travelled in vehicles owned, rented or leased by for use by your organisation/agency. You should not report data on this sheet for contractors vehicles, staff commuting or patient travel in their own vehicles. You may not need to put information in all cells. </t>
  </si>
  <si>
    <t>In Column A you should select from the dropdown list the building/site where the vehicles are based, or select one of the non site-specific options.</t>
  </si>
  <si>
    <t xml:space="preserve">It is possible to enter data for each individual vehicle, this can be useful for targeting investments. If more convenient you may provide the total distance travelled, grouped by vehicle type and fuel type. The sheet automatically looks up the typical emissions per kilometre for vehicles of that size and fuel type. </t>
  </si>
  <si>
    <r>
      <rPr>
        <b/>
        <sz val="11"/>
        <color theme="1"/>
        <rFont val="Calibri"/>
        <family val="2"/>
        <scheme val="minor"/>
      </rPr>
      <t>Note:</t>
    </r>
    <r>
      <rPr>
        <sz val="11"/>
        <color theme="1"/>
        <rFont val="Calibri"/>
        <family val="2"/>
        <scheme val="minor"/>
      </rPr>
      <t xml:space="preserve"> As this workbook assigns emissions Scopes on the basis of Operational Control, all emissions arising from owned or rented vehicles will be classed as Scope 1 (fuel use).  Electric vehicles can only be reported on the 'Vehicle Fuel' sheet. This workbook does not calculate Scope 3 emissions associated with the supply of fuel or 'Out of Scopes' emissions associated with biomass sources. </t>
    </r>
  </si>
  <si>
    <r>
      <rPr>
        <b/>
        <sz val="11"/>
        <color theme="1"/>
        <rFont val="Calibri"/>
        <family val="2"/>
        <scheme val="minor"/>
      </rPr>
      <t xml:space="preserve">Note: </t>
    </r>
    <r>
      <rPr>
        <sz val="11"/>
        <color theme="1"/>
        <rFont val="Calibri"/>
        <family val="2"/>
        <scheme val="minor"/>
      </rPr>
      <t>A conversion factor from distance travelled to fuel used is assigned on the basis of vehicle type and size. This is not an entirely accurate approach. Actual fuel use can depend on age of vehicle, driving style, terrain  and vehicle maintenance. It is always more accurate to report on the amount of fuel used rather than distance travelled</t>
    </r>
  </si>
  <si>
    <t>Small car</t>
  </si>
  <si>
    <t>Petrol/LPG/CNG - up to a 1.4-litre engine, Diesel - up to a 1.7-litre engine</t>
  </si>
  <si>
    <t>Medium car</t>
  </si>
  <si>
    <t>Petrol/LPG/CNG - from 1.4-litre to 2.0-litre engine Diesel - from 1.7-litre to 2.0-litre engine</t>
  </si>
  <si>
    <t>The weighted data quality score is derived from all the data submitted on this sheet. It is a function of the data quality and the amount of units reported in each line. When using distance rather than fuel, it is impossible to achieve a 100% data quality score</t>
  </si>
  <si>
    <t>Large car</t>
  </si>
  <si>
    <t>Petrol/LPG/CNG - 2.0-litre engine +
Diesel - 2.0-litre engine +</t>
  </si>
  <si>
    <r>
      <rPr>
        <b/>
        <sz val="11"/>
        <color theme="1"/>
        <rFont val="Calibri"/>
        <family val="2"/>
        <scheme val="minor"/>
      </rPr>
      <t>Miles to Kilometre converter:</t>
    </r>
    <r>
      <rPr>
        <sz val="11"/>
        <color theme="1"/>
        <rFont val="Calibri"/>
        <family val="2"/>
        <scheme val="minor"/>
      </rPr>
      <t xml:space="preserve"> (all data must be reported in km) To convert miles to km input miles into the pink cell on the left, km will be shown in the green cell on the right.</t>
    </r>
  </si>
  <si>
    <t>Miles</t>
  </si>
  <si>
    <t>Kilometres</t>
  </si>
  <si>
    <t>Has all fuel use data for this vehicle also been reported in the 'Vehicle Fuel' sheet</t>
  </si>
  <si>
    <t>Number of vehicles of this type (This is not used for calculation just for information)</t>
  </si>
  <si>
    <t>Kilometres travelled</t>
  </si>
  <si>
    <t>Petrol</t>
  </si>
  <si>
    <t>Van-up to 1.305 tonnes</t>
  </si>
  <si>
    <t>Diesel</t>
  </si>
  <si>
    <t>Van 1.305 to 1.74 tonnes</t>
  </si>
  <si>
    <t>Van 1.74 to 3.5 tonnes</t>
  </si>
  <si>
    <t>Choose Y or N from Dropdown</t>
  </si>
  <si>
    <t>Truck, rigid axel &gt;3.5 - 7.5 tonnes</t>
  </si>
  <si>
    <t>Truck, rigid axel &gt;7.5 tonnes-17 tonnes</t>
  </si>
  <si>
    <t>Truck, rigid axel &gt;17 tonnes</t>
  </si>
  <si>
    <t>Refrigerated truck, rigid axel &gt;3.5 - 7.5 tonnes</t>
  </si>
  <si>
    <t>Refrigerated truck, rigid axel &gt;7.5 tonnes-17 tonnes</t>
  </si>
  <si>
    <t>Refrigerated truck, rigid axel &gt;17 tonnes</t>
  </si>
  <si>
    <t>Articulated truck &gt;3.5 - 33t</t>
  </si>
  <si>
    <t>Articulated truck &gt;33t</t>
  </si>
  <si>
    <t>Refrigerated articulated truck &gt;3.5 - 33t</t>
  </si>
  <si>
    <t>Refrigerated articulated truck &gt;33t</t>
  </si>
  <si>
    <t>Car small</t>
  </si>
  <si>
    <t>Car medium</t>
  </si>
  <si>
    <t>Car large</t>
  </si>
  <si>
    <t>Motorbike small</t>
  </si>
  <si>
    <t>Motorbike medium</t>
  </si>
  <si>
    <t>Motorbike large</t>
  </si>
  <si>
    <t>Video conferencing and public transport are low carbon options. A change from business class to economy class for necessary international air travel can also reduce emissions for that journey by around 65%. Click here to read more.</t>
  </si>
  <si>
    <t>This sheet covers all travel for business purposes by your organisation's staff. It covers travel by road, water or air, in vehicles not owned, leased or rented by your organisation. You should not report here on travel by contractors, unless this travel is directly paid for or reimbursed as business expenses by your organisation</t>
  </si>
  <si>
    <t>Multistop Air travel distance calculator</t>
  </si>
  <si>
    <t>In Column A you should select from the drop down list the building/site where the traveling staff are based, or select one of the non site-specific options.</t>
  </si>
  <si>
    <t xml:space="preserve">https://www.airmilescalculator.com/distance4/doh-to-lgw-alb-mdq/ </t>
  </si>
  <si>
    <t xml:space="preserve">It is possible to report each individual journey separately. If reporting for a whole vehicle (e.g. one person in a taxi, car or motorbike) use km or miles. If reporting for a one or more passenger in a multi-occupancy vehicle (e.g. one or two persons travelling in an aeroplane, bus or train) use passenger.km.  Then for each line input the distance travelled and the number of people travelling. </t>
  </si>
  <si>
    <t>All travel in vehicles not owned or rented  by the organisation is Scope 3</t>
  </si>
  <si>
    <t>Petrol/LPG/CNG - from 1.4-litre to 2.0-litre engine
Diesel - from 1.7-litre to 2.0-litre engine</t>
  </si>
  <si>
    <t>Staff usually based at</t>
  </si>
  <si>
    <t>Method of travel</t>
  </si>
  <si>
    <t>Number of people travelling</t>
  </si>
  <si>
    <t>Units of distance used</t>
  </si>
  <si>
    <t>Journey distance (based on one passenger)</t>
  </si>
  <si>
    <t>Total passenger distance travelled (C x E)</t>
  </si>
  <si>
    <r>
      <t>Select from dropdown (</t>
    </r>
    <r>
      <rPr>
        <b/>
        <i/>
        <sz val="11"/>
        <color theme="1"/>
        <rFont val="Calibri"/>
        <family val="2"/>
        <scheme val="minor"/>
      </rPr>
      <t>for public transport always use passenger.km</t>
    </r>
    <r>
      <rPr>
        <b/>
        <sz val="11"/>
        <color theme="1"/>
        <rFont val="Calibri"/>
        <family val="2"/>
        <scheme val="minor"/>
      </rPr>
      <t>)</t>
    </r>
  </si>
  <si>
    <t>Number (Unusually high entries will be highlighted red, please check these carefully)</t>
  </si>
  <si>
    <t>passenger.km</t>
  </si>
  <si>
    <t>Descriptive notes. e.g. Date, route, reason for travel</t>
  </si>
  <si>
    <t>miles</t>
  </si>
  <si>
    <t>Domestic flight- Within country</t>
  </si>
  <si>
    <t>(High)Site record of miles travelled</t>
  </si>
  <si>
    <t>International flights-Unknown class</t>
  </si>
  <si>
    <t>(Medium)estimated milage from spend</t>
  </si>
  <si>
    <t>International flights-Economy class</t>
  </si>
  <si>
    <t>International flights-Business class</t>
  </si>
  <si>
    <t>International flights-First class</t>
  </si>
  <si>
    <t>Long-haul-Unknown class</t>
  </si>
  <si>
    <t>Long-haul-Economy class</t>
  </si>
  <si>
    <t>Long-haul-Business class</t>
  </si>
  <si>
    <t>Long-haul-First class</t>
  </si>
  <si>
    <t>Short-haul-Unknown class</t>
  </si>
  <si>
    <t>Short-haul-Economy class</t>
  </si>
  <si>
    <t>Short-haul-Business class</t>
  </si>
  <si>
    <t>Ferry-Foot</t>
  </si>
  <si>
    <t>Ferry-car</t>
  </si>
  <si>
    <t>Ferry-average</t>
  </si>
  <si>
    <t>Small Car</t>
  </si>
  <si>
    <t>Medium Car</t>
  </si>
  <si>
    <t>Large Car</t>
  </si>
  <si>
    <t>Small motorbike</t>
  </si>
  <si>
    <t>Medium Motorbike</t>
  </si>
  <si>
    <t>Large Motorbike</t>
  </si>
  <si>
    <t>Taxi (car)</t>
  </si>
  <si>
    <t xml:space="preserve">Local bus </t>
  </si>
  <si>
    <t>Coach</t>
  </si>
  <si>
    <t>National rail</t>
  </si>
  <si>
    <t>International rail</t>
  </si>
  <si>
    <t>Light rail and tram</t>
  </si>
  <si>
    <t>Eight hours of surgery using nitrous oxide and O2  has a similar impact on climate change to driving 1,000 km in a car</t>
  </si>
  <si>
    <t xml:space="preserve">This sheet covers any anaesthetic gas use. You may not need to put information in all cells. </t>
  </si>
  <si>
    <t>In Column A you should select from the dropdown list the building/site where the anaesthetics were used, or select one of the non site-specific options.</t>
  </si>
  <si>
    <t xml:space="preserve">Please use separate lines for different bottle/cylinder sizes. i.e. if 5x250ml and 2x200ml bottles of Halothane were used, enter these on separate lines. For Entonox or Allenox select nitrous oxide in Column B and select the most appropriate cylinder size in Column E.  The worksheet will automatically calculate the weight of anaesthetic gas used and the carbon impact. If you are unsure of the appropriate nitrous oxide cylinder size, refer to the chart and the estimation tool to the right. If an appropriate cylinder/bottle size is not listed, select 'Unlisted' in Column E and manually enter the total weight of anaesthetic gas for all bottles/cylinders on that line in Column H </t>
  </si>
  <si>
    <t>All the anaesthetic gases listed here are greenhouse gases. Isoflurane and halothane are also ozone depleting substances. Once used they are exhaled and vented to atmosphere and contribute to Scope 1 emissions. Desflurane is a highly potent greenhouse gas and its use should be avoided. Where a percentage of these gases is metabolised this has been accounted for in the carbon calculations.</t>
  </si>
  <si>
    <t>If you are unsure of your cylinder sizes, refer to the size chart to the left or select a size from the box to the right to identify the typical full weight and volume of gas for that cylinder type.</t>
  </si>
  <si>
    <t>Select cylinder size from dropdown</t>
  </si>
  <si>
    <t>Cylinder weight when full (Kg)</t>
  </si>
  <si>
    <t>Gas volume when full (l)</t>
  </si>
  <si>
    <t>ENTONOX SIZE  F</t>
  </si>
  <si>
    <t>Site where Anaesthetic gas is used</t>
  </si>
  <si>
    <t>Anaesthetic gas used (Report on gas used grouped by type. For Entonox and Equanox select 'Nitrous oxide')</t>
  </si>
  <si>
    <t>Main purpose for gas use</t>
  </si>
  <si>
    <t>Number or bottles/ cylinders used</t>
  </si>
  <si>
    <t>Bottle size (litres)/ Nitrous cylinder size</t>
  </si>
  <si>
    <t>Weight of nitrous oxide or  volatile gas per bottle/cylinder used (kg)</t>
  </si>
  <si>
    <t xml:space="preserve">Total weight of nitrous oxide or volatile gas used (kg) </t>
  </si>
  <si>
    <t>Anaesthetic type</t>
  </si>
  <si>
    <t>Use of anaesthetic</t>
  </si>
  <si>
    <t>Select the exact or closest size from the dropdown</t>
  </si>
  <si>
    <t xml:space="preserve">Number </t>
  </si>
  <si>
    <t xml:space="preserve"> Number</t>
  </si>
  <si>
    <t>Number (If bottle/cylinder size is selected as unlisted manually enter the total weight of gas for this line)</t>
  </si>
  <si>
    <t>Descriptive notes</t>
  </si>
  <si>
    <t>kgCO2e/Kg</t>
  </si>
  <si>
    <t>Unlisted</t>
  </si>
  <si>
    <t>Isoflurane/AErrane</t>
  </si>
  <si>
    <t>General surgery</t>
  </si>
  <si>
    <t>(High) From delivery or usage records kept by staff</t>
  </si>
  <si>
    <t>Sevoflurane/Ultane</t>
  </si>
  <si>
    <t>Maternity</t>
  </si>
  <si>
    <t>(Medium) From spending data or suppliers bills</t>
  </si>
  <si>
    <t>Desflurane</t>
  </si>
  <si>
    <t>Minor surgery</t>
  </si>
  <si>
    <t>(Low) Copied from last quarter</t>
  </si>
  <si>
    <t>Halothane/Fluothane</t>
  </si>
  <si>
    <t>Accident and Emergency</t>
  </si>
  <si>
    <t>(Low) Estimated</t>
  </si>
  <si>
    <t>Enflurane</t>
  </si>
  <si>
    <t>Nitrous oxide</t>
  </si>
  <si>
    <t>Size D Nitrous</t>
  </si>
  <si>
    <t>Size E Nitrous</t>
  </si>
  <si>
    <t>Size F Nitrous</t>
  </si>
  <si>
    <t>Size G Nitrous</t>
  </si>
  <si>
    <t>Size J Nitrous</t>
  </si>
  <si>
    <t>Size AZ Nitrous</t>
  </si>
  <si>
    <t>ENTONOX EA</t>
  </si>
  <si>
    <t>ENTONOX SIZE  D</t>
  </si>
  <si>
    <t>ENTONOX SIZE ED</t>
  </si>
  <si>
    <t>ENTONOX SIZE EX</t>
  </si>
  <si>
    <t>ENTONOX SIZE  G</t>
  </si>
  <si>
    <t>Allenox 950L</t>
  </si>
  <si>
    <t>Allenox 2000L</t>
  </si>
  <si>
    <t>Allenox 10,000L</t>
  </si>
  <si>
    <t>Nitrous 950L</t>
  </si>
  <si>
    <t>Nitrous 1,700L</t>
  </si>
  <si>
    <t>Nitrous 17,000L</t>
  </si>
  <si>
    <t>A leak of 1 kg of a typical refrigerant can cause approximately the same environmental damage as driving a van 10,000 miles</t>
  </si>
  <si>
    <t xml:space="preserve">This sheet covers all refrigerant gases leaking from, or used to top-up, air conditioning, cooling units, or walk in chillers. You may not need to put information in all cells </t>
  </si>
  <si>
    <t xml:space="preserve">In Column A you should select from the drop down list the building/site where the refrigerants have been used, or select one of the non site-specific options. </t>
  </si>
  <si>
    <t>Different types of system, and systems using different types of refrigerant, must be reported on separate lines. Ideally you should enter in Column H the actual amounts of each refrigerant used. This should be from your maintenance records.  If this is not possible the workbook can estimate leakage for you using industry average rates for different types of appliance. To allow this, first determine the type and weight of refrigerant usually held in each unit. This data is normally on the technical data plate attached to each unit (see image to the left). Enter the weight of refrigerant held in each unit in Column D, select the appropriate refrigerant from the list in Column B, enter the number of units of thus type in Column C and select the type of system in Column F.  If you do not see the refrigerant you need listed in the dropdown add its name to the pink cells to the right. Any missing gases will be included in future revisions of the tool.</t>
  </si>
  <si>
    <t>Refrigerants are often potent greenhouse gases or ozone depleting substances. Chillers tend to slowly leak these gases, or they can be accidentally released during maintenance. As this workbook assigns emissions Scopes on the basis of Operational control, all emissions arising from refrigerant release in owned or rented buildings will be classed as Scope 1. A separate workbook is available if you wish to account by Financial control.</t>
  </si>
  <si>
    <t>Useful guidance on how to reduce refrigerant leaks</t>
  </si>
  <si>
    <t>Other refrigerants, not listed in drop down</t>
  </si>
  <si>
    <t>https://www.epa.gov/sites/default/files/documents/RealZeroGuidetoGoodLeakTesting.pdf</t>
  </si>
  <si>
    <t>Site where refrigerant gas is used</t>
  </si>
  <si>
    <t>Refrigerant gas used in chillers (report on gas used grouped by type)</t>
  </si>
  <si>
    <t>Number of chillers at the building that use this type of gas</t>
  </si>
  <si>
    <t>Weight of gas held in each chiller (see technical data plate on each device)</t>
  </si>
  <si>
    <t>Total weight of gas normally held in all the chillers counted in Column C (Columns CxD)</t>
  </si>
  <si>
    <t>Type of system</t>
  </si>
  <si>
    <t>Estimated amount of refrigerant leakage over the last reporting period from all chillers in Column C. (Ensure a reporting period has been selected on the cover sheet)</t>
  </si>
  <si>
    <t>Measured amount of refrigerant used over last reporting period</t>
  </si>
  <si>
    <t>Cost per kg</t>
  </si>
  <si>
    <t xml:space="preserve">Cost per kg </t>
  </si>
  <si>
    <t>Building/site ownership</t>
  </si>
  <si>
    <t>Number in Kilogrammes</t>
  </si>
  <si>
    <t>Number in Kilogrammes  (This estimated amount is a low quality data)</t>
  </si>
  <si>
    <t xml:space="preserve">Number in Kilogrammes (This measured amount is high quality data) </t>
  </si>
  <si>
    <t>Descriptive notes.</t>
  </si>
  <si>
    <t>Lookup from buildings sheet</t>
  </si>
  <si>
    <t>Refrigerant Type</t>
  </si>
  <si>
    <t>Type of Equipment </t>
  </si>
  <si>
    <t>kilogrammes (kg)</t>
  </si>
  <si>
    <t>Carbon dioxide</t>
  </si>
  <si>
    <t>Domestic Refrigeration</t>
  </si>
  <si>
    <t>(High) From site records of refrigerant top ups</t>
  </si>
  <si>
    <t>Methane</t>
  </si>
  <si>
    <t>Small Hermetic Stand-Alone Refrigeration Units</t>
  </si>
  <si>
    <t>(Medium) From suppliers records/bills</t>
  </si>
  <si>
    <t>Condensing Units</t>
  </si>
  <si>
    <t>HFC-23</t>
  </si>
  <si>
    <t>Centralised Supermarket Refrigeration Systems</t>
  </si>
  <si>
    <t>(Low) Automatic estimated</t>
  </si>
  <si>
    <t>HFC-32</t>
  </si>
  <si>
    <t>Industrial Systems</t>
  </si>
  <si>
    <t>HFC-41</t>
  </si>
  <si>
    <t>Small Stationary Air Conditioning</t>
  </si>
  <si>
    <t>HFC-125</t>
  </si>
  <si>
    <t>Medium Stationary Air Conditioning</t>
  </si>
  <si>
    <t>HFC-134</t>
  </si>
  <si>
    <t>Large Stationary Air Conditioning (Chillers)</t>
  </si>
  <si>
    <t>HFC-134a</t>
  </si>
  <si>
    <t>Heat Pumps</t>
  </si>
  <si>
    <t>HFC-143</t>
  </si>
  <si>
    <t>Land Transport Refrigeration</t>
  </si>
  <si>
    <t>HFC-143a</t>
  </si>
  <si>
    <t>Marine Transport Refrigeration</t>
  </si>
  <si>
    <t>HFC-152a</t>
  </si>
  <si>
    <t>Light-Duty Mobile Air Conditioning </t>
  </si>
  <si>
    <t>HFC-227ea</t>
  </si>
  <si>
    <t>Other Mobile Air Conditioning</t>
  </si>
  <si>
    <t>HFC-236fa</t>
  </si>
  <si>
    <t>HFC-245fa</t>
  </si>
  <si>
    <t>HFC-43-I0mee</t>
  </si>
  <si>
    <t>Perfluoromethane (PFC-14)</t>
  </si>
  <si>
    <t>Perfluoroethane (PFC-116)</t>
  </si>
  <si>
    <t>Perfluoropropane (PFC-218)</t>
  </si>
  <si>
    <t>Perfluorocyclobutane (PFC-318)</t>
  </si>
  <si>
    <t>Perfluorobutane (PFC-3-1-10)</t>
  </si>
  <si>
    <t>Perfluoropentane (PFC-4-1-12)</t>
  </si>
  <si>
    <t>Perfluorohexane (PFC-5-1-14)</t>
  </si>
  <si>
    <t>Sulphur hexafluoride (SF6)</t>
  </si>
  <si>
    <t>HFC-152</t>
  </si>
  <si>
    <t>HFC-161</t>
  </si>
  <si>
    <t>HFC-236cb</t>
  </si>
  <si>
    <t>HFC-236ea</t>
  </si>
  <si>
    <t>HFC-245ca</t>
  </si>
  <si>
    <t>HFC-365mfc</t>
  </si>
  <si>
    <t>R404A</t>
  </si>
  <si>
    <t>R407A</t>
  </si>
  <si>
    <t>R407C</t>
  </si>
  <si>
    <t>R407F</t>
  </si>
  <si>
    <t>R408A</t>
  </si>
  <si>
    <t>R410A</t>
  </si>
  <si>
    <t>R507A</t>
  </si>
  <si>
    <t>R508B</t>
  </si>
  <si>
    <t>R403A</t>
  </si>
  <si>
    <t>CFC-11/R11 = trichlorofluoromethane</t>
  </si>
  <si>
    <t>CFC-12/R12 = dichlorodifluoromethane</t>
  </si>
  <si>
    <t>CFC-13</t>
  </si>
  <si>
    <t>CFC-113</t>
  </si>
  <si>
    <t>CFC-114</t>
  </si>
  <si>
    <t>CFC-115</t>
  </si>
  <si>
    <t>Halon-1211</t>
  </si>
  <si>
    <t>Halon-1301</t>
  </si>
  <si>
    <t>Halon-2402</t>
  </si>
  <si>
    <t>Carbon tetrachloride</t>
  </si>
  <si>
    <t>Methyl bromide</t>
  </si>
  <si>
    <t>Methyl chloroform</t>
  </si>
  <si>
    <t>HCFC-22/R22 = chlorodifluoromethane</t>
  </si>
  <si>
    <t>HCFC-123</t>
  </si>
  <si>
    <t>HCFC-124</t>
  </si>
  <si>
    <t>HCFC-141b</t>
  </si>
  <si>
    <t>HCFC-142b</t>
  </si>
  <si>
    <t>HCFC-225ca</t>
  </si>
  <si>
    <t>HCFC-225cb</t>
  </si>
  <si>
    <t>HCFC-21</t>
  </si>
  <si>
    <t>Nitrogen trifluoride</t>
  </si>
  <si>
    <t>PFC-9-1-18</t>
  </si>
  <si>
    <t>Trifluoromethyl sulphur pentafluoride</t>
  </si>
  <si>
    <t>Perfluorocyclopropane</t>
  </si>
  <si>
    <t>HFE-125</t>
  </si>
  <si>
    <t>HFE-134</t>
  </si>
  <si>
    <t>HFE-143a</t>
  </si>
  <si>
    <t>HCFE-235da2</t>
  </si>
  <si>
    <t>HFE-245cb2</t>
  </si>
  <si>
    <t>HFE-245fa2</t>
  </si>
  <si>
    <t>HFE-254cb2</t>
  </si>
  <si>
    <t>HFE-347mcc3</t>
  </si>
  <si>
    <t>HFE-347pcf2</t>
  </si>
  <si>
    <t>HFE-356pcc3</t>
  </si>
  <si>
    <t>HFE-449sl (HFE-7100)</t>
  </si>
  <si>
    <t>HFE-569sf2 (HFE-7200)</t>
  </si>
  <si>
    <t>HFE-43-10pccc124 (H-Galden1040x)</t>
  </si>
  <si>
    <t>HFE-236ca12 (HG-10)</t>
  </si>
  <si>
    <t>HFE-338pcc13 (HG-01)</t>
  </si>
  <si>
    <t>PFPMIE</t>
  </si>
  <si>
    <t>Dimethylether</t>
  </si>
  <si>
    <t>Methylene chloride</t>
  </si>
  <si>
    <t>Methyl chloride</t>
  </si>
  <si>
    <t>R290 = propane</t>
  </si>
  <si>
    <t>R600A = isobutane</t>
  </si>
  <si>
    <t>R1234yf*</t>
  </si>
  <si>
    <t>R1234ze*</t>
  </si>
  <si>
    <t>R406A</t>
  </si>
  <si>
    <t>R409A</t>
  </si>
  <si>
    <t>R502</t>
  </si>
  <si>
    <t>R32 =Difluromethane</t>
  </si>
  <si>
    <t>A comparison study in Nature highlighted that the carbon footprint of bottled water could be 300 times higher than that of tap water</t>
  </si>
  <si>
    <t xml:space="preserve">This sheet covers all water use, you may not need to put information in all cells </t>
  </si>
  <si>
    <t>In Column A you should select from the drop down list the building/site where the water was used, or select one of the non site-specific options.</t>
  </si>
  <si>
    <t>You may group reported volumes of water used by type of supply at each site. i.e. if you have water delivered by tanker and supplied in bottles, total up the volume or weight of water delivered by tanker and the amount supplied in bottle over the last quarter and enter these 2 figures on different lines.</t>
  </si>
  <si>
    <t>tonnes CO2e</t>
  </si>
  <si>
    <t>Any GHG emissions arising from the supply and treatment of water are Scope 3</t>
  </si>
  <si>
    <t>Natural resource use</t>
  </si>
  <si>
    <t>Bottled (litres)</t>
  </si>
  <si>
    <t>While water supply is not particularly carbon intensive, water can be a very limited natural resource. Water use can put pressure on the local environment and supply can be impacted by climate change. As such it is important to measure and manage and report the amount of water used.</t>
  </si>
  <si>
    <t>Local supply (litres)</t>
  </si>
  <si>
    <t>Tanker delivery (litres)</t>
  </si>
  <si>
    <t>Site where water is used</t>
  </si>
  <si>
    <t>Type of water source (report on water used grouped by type)</t>
  </si>
  <si>
    <t>Main purpose for water use</t>
  </si>
  <si>
    <t xml:space="preserve">Units </t>
  </si>
  <si>
    <t xml:space="preserve">Total units of water used </t>
  </si>
  <si>
    <t>Litres conversion factor</t>
  </si>
  <si>
    <t>Litres used</t>
  </si>
  <si>
    <t xml:space="preserve">Carbon conversion factor </t>
  </si>
  <si>
    <t xml:space="preserve">Descriptive notes. </t>
  </si>
  <si>
    <t>Litres per unit</t>
  </si>
  <si>
    <t>Litres</t>
  </si>
  <si>
    <t>Type of water use</t>
  </si>
  <si>
    <t>Use of water</t>
  </si>
  <si>
    <t>No factors available</t>
  </si>
  <si>
    <t>Kilogrammes (Kg)</t>
  </si>
  <si>
    <t>Water tanker delivery</t>
  </si>
  <si>
    <t>Washing, or showers</t>
  </si>
  <si>
    <t>(High) From meter readings or delivery records kept by site staff</t>
  </si>
  <si>
    <t>Local water supply network</t>
  </si>
  <si>
    <t>Use in toilets</t>
  </si>
  <si>
    <t>Cubic metres (M3)</t>
  </si>
  <si>
    <t>Well or borehole</t>
  </si>
  <si>
    <t>Drinking</t>
  </si>
  <si>
    <t>Gallons (G)</t>
  </si>
  <si>
    <t>Bottled</t>
  </si>
  <si>
    <t>Cooking</t>
  </si>
  <si>
    <t>Rainwater collection</t>
  </si>
  <si>
    <t>Mixed use</t>
  </si>
  <si>
    <t xml:space="preserve">This sheet covers all waste produced by your organisation. Factors used here are health sector specific. However these will provide a reasonable indicator of the scale of impact from waste management for other sectors. You may not need to put information in all cells. Carbon emissions are currently only calculated for incinerated, landfill or buried waste. Incineration emissions are based on a GHG Protocol factor derived using the typical plastics composition of healthcare waste. Landfill emissions, arise largely from the methane released during the decomposition of food waste or other organic matter. Factors are based on published literature, however emissions may vary with local climate and waste composition. It is possible to report emissions arising from the movement of wastes on the contractor logistics sheet. </t>
  </si>
  <si>
    <t>In Column A you should select from the dropdown list the building/site where the water was used, or select one of the non site-specific options.</t>
  </si>
  <si>
    <t xml:space="preserve">You may group and total waste disposal by type at each site. i.e., if 2 tonnes of waste were incinerated on site in your own incinerator and 5 tonnes were sent to landfill, report this on 2 lines, one for 'Landfill', one for 'Incinerated: On-site in owned incinerator'. It is advisable to break this down further by reporting different waste types (e.g., 'Infectious waste' or 'General waste') on different lines </t>
  </si>
  <si>
    <t>All GHG emissions arising from waste treatment by a waste management company are Scope 3</t>
  </si>
  <si>
    <t>The waste hierarchy image to the left shows the order of preference in waste management. The best solution is to reduce the amount of waste produced by choosing products and processes that generate less waste. However, if waste is produced, where appropriate and possible it should be reused, recycled or sent for material recovery. If this is not appropriate or possible, incineration to generate energy is the next best option, followed by incineration without energy generation or finally landfill. Where there is a risk that wastes could contaminate the environment, local water supply or create a health hazard, incineration is preferable to landfill or burying. Incineration of plastics reduces the risk of these entering the environment as pollutants, however this produces greenhouse gases as most plastics are derived from crude oil. Ideally, where appropriate, the consumption of single use plastics should be reduced to mitigate environmental risks.</t>
  </si>
  <si>
    <t>All GHG emissions arising from incineration in your own facilities or burying of your waste are Scope 1</t>
  </si>
  <si>
    <t>Incinerated (Kg)</t>
  </si>
  <si>
    <t>Waste treatment has the potential to be carbon intensive, wasteful of limited natural resources and damaging to the environment. As such it is also important to measure, manage and report the amount of waste disposed of through each disposal route.</t>
  </si>
  <si>
    <t>Buried or Landfill (Kg)</t>
  </si>
  <si>
    <t>Recycled (Kg)</t>
  </si>
  <si>
    <t>Other (Kg)</t>
  </si>
  <si>
    <t>Total (Kg)</t>
  </si>
  <si>
    <t>Site where waste is generated</t>
  </si>
  <si>
    <t>Type of disposal</t>
  </si>
  <si>
    <t>Main type of waste disposed</t>
  </si>
  <si>
    <t xml:space="preserve">Total units of waste disposed </t>
  </si>
  <si>
    <t>Kg disposed</t>
  </si>
  <si>
    <t>Kg</t>
  </si>
  <si>
    <t>Type of waste</t>
  </si>
  <si>
    <t>Kilogrammes (kg)</t>
  </si>
  <si>
    <t>Incinerated:On-site in owned incinerator</t>
  </si>
  <si>
    <t>Mixed clinical wastes-infectious</t>
  </si>
  <si>
    <t>(High) From records kept by site staff</t>
  </si>
  <si>
    <t>Incinerated:Off-site in owned incinerator</t>
  </si>
  <si>
    <t>Mixed clinical wastes- non infectious</t>
  </si>
  <si>
    <t>(Medium) From bills/supplier records</t>
  </si>
  <si>
    <t>Incinerated: Waste company incinerator</t>
  </si>
  <si>
    <t>Mixed clinical and non clinical wastes</t>
  </si>
  <si>
    <t>Buried by staff</t>
  </si>
  <si>
    <t>Pharmaceutical wastes</t>
  </si>
  <si>
    <t>Recycled, composted, sold or animal feed</t>
  </si>
  <si>
    <t>Mixed recyclables</t>
  </si>
  <si>
    <t>Landfill</t>
  </si>
  <si>
    <t>Metallic wastes</t>
  </si>
  <si>
    <t>Non-metallic wastes (plastics, wood, paper etc)</t>
  </si>
  <si>
    <t>Unknown</t>
  </si>
  <si>
    <t>Mixed general wastes</t>
  </si>
  <si>
    <t>Discarded equipment</t>
  </si>
  <si>
    <t>Animal and vegetable wastes</t>
  </si>
  <si>
    <t>Mineral and construction wastes</t>
  </si>
  <si>
    <t>Waste vehicle and engine oils</t>
  </si>
  <si>
    <t>A single pressurised inhaler, if fully used, can release greenhouse gas emissions equivalent to a small car driven for 290km. One patient may use more than 12 of these devices a year.</t>
  </si>
  <si>
    <t>This sheet can be used to estimate all greenhouse gas emissions arising from inhaler devices prescribed or dispensed by your organisation. Several types of inhalers are used to treat common respiratory conditions such as asthma or COPD. There are many different drugs delivered using inhalers sold under hundreds of brand names and in different dosages. The most common devices fall in to 4 categories. 1. Pressurised Metered Dose Inhalers (MDI), 2. Dry Powder Inhalers (DPI), 3. Nebulisers, 4. Soft Mist Inhalers. In MDI the drug is contained in a pressurised canister and delivered as an aerosol. While the most damaging CFC propellants have been phased out, the propellants used are still potent greenhouse gases. No propellants are used in DPI, nebuliser or soft mist devices.</t>
  </si>
  <si>
    <t>Use a new line for each brand and dosage device. Select a device type from the dropdown that most closely matches each device. Enter the brand name and dosage in the notes. The calculator scales the carbon emissions in relation to the number of doses in the device, so for each device you must enter the number of doses the device contains. If this is not in the information supplied by your pharmacist, this can normally be found through a quick web search for an image of the device packaging. The number of doses, usually between 30 and 200, is printed on the box for each device.   (See the guidance image to the right)</t>
  </si>
  <si>
    <t>A number must be entered for how many devices of each type were dispensed from your pharmacies. If devices are prescribed by your organisation but dispensed by others, and data is available, enter data for the number of devices prescribed by your clinicians in reporting period. If you have already counted devices as dispensed, do not enter them again as prescribed. This will lead to double counting.</t>
  </si>
  <si>
    <t>The emissions calculation for Metered Dose Inhalers is based on the weight and type of propellant contained in each device. While the plastics and metals have a small impact, over 95% of the carbon emissions come from the propellants. Typically about 70% of the propellant is released as the product is used and about 30% is left in the spent canister.  Estimates have been made on the total amount of propellant in inhaler devices based on published literature. These emissions are then scaled with regards to the number of doses/actuations/puffs in each device. Where product specific data is available this has been used. Calculations include devices directly dispensed by the organisations pharmacies and separately devices prescribed by the organisations clinicians. Emissions can be reduced through a number of measures including: Favouring dry powder devices (where clinically appropriate); training patients how to use every dose in their device effectively; if MDI are needed, favouring devices with dose counters. Ensuring spent devices are collected and properly incinerated can also ensure that residual gas doesn't leak into the atmosphere.</t>
  </si>
  <si>
    <t>Total Scope 3- Inhaler Prescribing</t>
  </si>
  <si>
    <t>Emissions arising from the use of dispensed or prescribed inhalers is Scope 3</t>
  </si>
  <si>
    <t>Total Scope 3- Inhaler Dispensing</t>
  </si>
  <si>
    <t>Site where inhalers were dispensed</t>
  </si>
  <si>
    <t>Device type</t>
  </si>
  <si>
    <t>Number of doses per device</t>
  </si>
  <si>
    <t>Number of devices  dispensed</t>
  </si>
  <si>
    <t>Number of devices prescribed (if not already counted as dispensed)</t>
  </si>
  <si>
    <t>Drug</t>
  </si>
  <si>
    <t>Propellant type</t>
  </si>
  <si>
    <t>Estimated propellant weight per device</t>
  </si>
  <si>
    <t>Estimated propellant weight per actuation (Total propellant weight divided by total actuations)</t>
  </si>
  <si>
    <t>Estimated footprint per device</t>
  </si>
  <si>
    <t xml:space="preserve">Carbon impact of dispensing </t>
  </si>
  <si>
    <t>Carbon impact of prescribing</t>
  </si>
  <si>
    <t>Supplier</t>
  </si>
  <si>
    <t>Source of data</t>
  </si>
  <si>
    <t>Select from dropdown (Select an option that most closely describes the device. Please put the full device name in the notes)</t>
  </si>
  <si>
    <t>Enter number (If unknown this can be found by searching online for an image of the device. The number of doses is normally between 30 and 200 and is always printed on the packaging)</t>
  </si>
  <si>
    <r>
      <t>Enter number (</t>
    </r>
    <r>
      <rPr>
        <b/>
        <sz val="11"/>
        <color theme="1"/>
        <rFont val="Calibri"/>
        <family val="2"/>
        <scheme val="minor"/>
      </rPr>
      <t>Do not enter numbers in grey cells</t>
    </r>
    <r>
      <rPr>
        <sz val="11"/>
        <color theme="1"/>
        <rFont val="Calibri"/>
        <family val="2"/>
        <scheme val="minor"/>
      </rPr>
      <t>)</t>
    </r>
  </si>
  <si>
    <t>Enter the brand name and dosage for the device</t>
  </si>
  <si>
    <t>grammes</t>
  </si>
  <si>
    <t>Kg CO2e</t>
  </si>
  <si>
    <t>kg CO2e (The highest values are shaded red, check these carefully)</t>
  </si>
  <si>
    <t xml:space="preserve">This sheet covers all logistics to move goods or materials on behalf of your organisation. It focuses on travel by road in vehicles not owned, leased, or rented by your organisation.  This may include private ambulance services or contractors paid to move medical products, wastes or other materials on your behalf. </t>
  </si>
  <si>
    <t>Logistics activity is less likely to be related to one specific building, as such this sheet is not linked to the buildings entered on the 'Buildings' sheet.</t>
  </si>
  <si>
    <t>Details of each individual journey is not required, only the total distance travelled by each type of vehicle in km. If the total weight of goods transported is known this can be entered in the notes.</t>
  </si>
  <si>
    <t>All emissions arising from logistics by contractors are classed as Scope 3</t>
  </si>
  <si>
    <t>Lookup tables</t>
  </si>
  <si>
    <t>Vehicle type (Group vehicles by type onto one line)</t>
  </si>
  <si>
    <t>Kilometres travelled by vehicles of this type in this quarter</t>
  </si>
  <si>
    <t>Units</t>
  </si>
  <si>
    <r>
      <t>CO</t>
    </r>
    <r>
      <rPr>
        <b/>
        <vertAlign val="subscript"/>
        <sz val="11"/>
        <color theme="1"/>
        <rFont val="Calibri"/>
        <family val="2"/>
        <scheme val="minor"/>
      </rPr>
      <t xml:space="preserve">2 </t>
    </r>
    <r>
      <rPr>
        <b/>
        <sz val="11"/>
        <color theme="1"/>
        <rFont val="Calibri"/>
        <family val="2"/>
        <scheme val="minor"/>
      </rPr>
      <t>emissions</t>
    </r>
  </si>
  <si>
    <t>Number (Distance in km)</t>
  </si>
  <si>
    <t>What weight of goods was transported by vehicles of this type (Kg)</t>
  </si>
  <si>
    <t>(High)Distance reported</t>
  </si>
  <si>
    <t>tonne.km</t>
  </si>
  <si>
    <t>(Low)Copied from last Q</t>
  </si>
  <si>
    <t>N/A (air/water/rail only)</t>
  </si>
  <si>
    <t>Cement truck</t>
  </si>
  <si>
    <t>Domestic air freight</t>
  </si>
  <si>
    <t>International air freight</t>
  </si>
  <si>
    <t>Rail freight</t>
  </si>
  <si>
    <t>Products tanker-Sea freight</t>
  </si>
  <si>
    <t>Bulk carrier-Sea freight</t>
  </si>
  <si>
    <t>General cargo-Sea freight</t>
  </si>
  <si>
    <t>Container ship-Sea freight</t>
  </si>
  <si>
    <t>Vehicle transport ship-Sea freight</t>
  </si>
  <si>
    <t>RoRo-Ferry</t>
  </si>
  <si>
    <t>Large RoPax ferry</t>
  </si>
  <si>
    <t>Refrigerated cargo-Sea freight</t>
  </si>
  <si>
    <t xml:space="preserve">This sheet covers key materials used in construction, you may not need to put information in all cells. </t>
  </si>
  <si>
    <t>The construction materials sheet is not comprehensive. It only includes a selection of the highest carbon construction materials.  Select the site you are reporting on from Column A, the material used (or the nearest approximation) in Column B and input the weight of material used in the reporting period in Column C.</t>
  </si>
  <si>
    <t>Diesel and petrol used in generators and vehicles for construction purposes should also be reported here, if data is available.</t>
  </si>
  <si>
    <t>All emissions from the supply of goods and services are Scope 3</t>
  </si>
  <si>
    <t>Building, Site or Campus</t>
  </si>
  <si>
    <t>Material used</t>
  </si>
  <si>
    <t>Amount of material used</t>
  </si>
  <si>
    <t>Kg/Litres</t>
  </si>
  <si>
    <t>kgCO2e per unit</t>
  </si>
  <si>
    <t>Material</t>
  </si>
  <si>
    <t>Aggregates</t>
  </si>
  <si>
    <t>Tonnes</t>
  </si>
  <si>
    <t>Average construction</t>
  </si>
  <si>
    <t>Asbestos</t>
  </si>
  <si>
    <t>Asphalt</t>
  </si>
  <si>
    <t>Bricks</t>
  </si>
  <si>
    <t>Concrete</t>
  </si>
  <si>
    <t>Insulation</t>
  </si>
  <si>
    <t>Metals</t>
  </si>
  <si>
    <t>Soils</t>
  </si>
  <si>
    <t>Mineral oil</t>
  </si>
  <si>
    <t>Plasterboard/Gypsum board</t>
  </si>
  <si>
    <t>Tyres</t>
  </si>
  <si>
    <t>Wood</t>
  </si>
  <si>
    <t>This sheet covers carbon emissions arising from your supply chain. These emissions may arise from many different layers of interdependent manufacturing, logistics and economic activity. It is only ever possible to make estimates. It is possible however to drive carbon reductions, through purchasing and consumption behaviour that reduces the amounts of higher carbon products used, and favouring lower carbon suppliers, products and services.</t>
  </si>
  <si>
    <r>
      <rPr>
        <b/>
        <sz val="11"/>
        <color theme="1"/>
        <rFont val="Calibri"/>
        <family val="2"/>
        <scheme val="minor"/>
      </rPr>
      <t>Tier 2</t>
    </r>
    <r>
      <rPr>
        <sz val="11"/>
        <color theme="1"/>
        <rFont val="Calibri"/>
        <family val="2"/>
        <scheme val="minor"/>
      </rPr>
      <t xml:space="preserve"> Footprinting is based on a UK Govt. carbon factor set.  This factor set is country specific. As such Tier 2 footprinting will not produce a fully accurate footprint for other countries. However, this approach provides sufficient detail to generate an initial baseline and to help target your work on carbon reduction and supplier engagement. The relative carbon intensities of different sectors will be broadly similar between countries. Medicines are highly carbon intensive and foods less so in all countries. Tier 2 footprinting helps to identify where to concentrate effort to secure supply chain carbon reductions.</t>
    </r>
    <r>
      <rPr>
        <b/>
        <sz val="11"/>
        <color theme="1"/>
        <rFont val="Calibri"/>
        <family val="2"/>
        <scheme val="minor"/>
      </rPr>
      <t xml:space="preserve"> To enable Tier 2 foot printing your organisations financial cost codes will first need to be mapped against the UK emissions factor set using the 'Spend mapping' sheet.</t>
    </r>
  </si>
  <si>
    <t>Tier 1 Footprint estimate (for scoping only)</t>
  </si>
  <si>
    <t>These footprint calculations are for scale and to support targeting of action. Tier 1 (Calculated on the Quickstart_T1 sheet) represents a rough high level estimate of your organisations total footprint. Tier 2 is a more refined estimate based on the types of products and services you buy, emissions factors used are not country specific.</t>
  </si>
  <si>
    <t>Tier 2 Footprint estimate (for targeting)</t>
  </si>
  <si>
    <t>Number of High priority areas (&gt;5% of emissions)</t>
  </si>
  <si>
    <t>% spend in High priority areas</t>
  </si>
  <si>
    <t>% carbon in high priority areas</t>
  </si>
  <si>
    <t>Number of Medium priority areas (1-5%of emissions)</t>
  </si>
  <si>
    <t>% spend in medium priority areas</t>
  </si>
  <si>
    <t>% carbon in medium priority areas</t>
  </si>
  <si>
    <t>Financial cost code (Only include non-pay  spend)</t>
  </si>
  <si>
    <t>Are carbon emissions from this cost code fully reported elsewhere in this workbook? (e.g., energy use or transport fuel)</t>
  </si>
  <si>
    <t>Spend against code (US$)</t>
  </si>
  <si>
    <t>% of total spend</t>
  </si>
  <si>
    <t>T2 Carbon factor</t>
  </si>
  <si>
    <t>T2 estimate of Carbon from spend against cost code</t>
  </si>
  <si>
    <t>% of total carbon (T2)</t>
  </si>
  <si>
    <t>T3 calculation of carbon from spend against cost code (inc. supplier specific emission)</t>
  </si>
  <si>
    <t>Priority for supplier engagement</t>
  </si>
  <si>
    <t>High priority areas (&gt;5% of total emissions)</t>
  </si>
  <si>
    <t>% of emissions high priority areas</t>
  </si>
  <si>
    <t>Medium priority area (1%-5% of emissions)</t>
  </si>
  <si>
    <t>% of emissions medium priority areas</t>
  </si>
  <si>
    <t>Linked to 'Spend mapping' sheet</t>
  </si>
  <si>
    <r>
      <t xml:space="preserve">Y/N </t>
    </r>
    <r>
      <rPr>
        <b/>
        <sz val="11"/>
        <color theme="1"/>
        <rFont val="Calibri"/>
        <family val="2"/>
        <scheme val="minor"/>
      </rPr>
      <t>(REQUIRED)</t>
    </r>
  </si>
  <si>
    <t>(US$ 1000s)</t>
  </si>
  <si>
    <t>kg CO2e/$</t>
  </si>
  <si>
    <t>Tonnes CO2e</t>
  </si>
  <si>
    <t>High (over 5% of total) Medium (over 1% of total)  Low (under 1% of total)</t>
  </si>
  <si>
    <t>Cost code</t>
  </si>
  <si>
    <t>Total spend in reporting period</t>
  </si>
  <si>
    <t>Spend with reporting suppliers</t>
  </si>
  <si>
    <t>Emissions from reporting suppliers</t>
  </si>
  <si>
    <t>Error check</t>
  </si>
  <si>
    <r>
      <rPr>
        <b/>
        <sz val="11"/>
        <color theme="1"/>
        <rFont val="Calibri"/>
        <family val="2"/>
        <scheme val="minor"/>
      </rPr>
      <t>Tier 3</t>
    </r>
    <r>
      <rPr>
        <sz val="11"/>
        <color theme="1"/>
        <rFont val="Calibri"/>
        <family val="2"/>
        <scheme val="minor"/>
      </rPr>
      <t xml:space="preserve"> foot printing requires you to identify supplier specific carbon intensities and environmental management approaches for your highest carbon suppliers. This may be published on your suppliers websites, or you may need to ask them for this data directly. Gaining data from your suppliers on their carbon intensities allows you to refine and improve the resolution and accuracy of your supply chain footprint. It is worth prioritising engagement with suppliers in the highest carbon cost codes. These hotspots are identified in Columns K and M in the 'Procurement_T2' sheet. More importantly understanding which suppliers contribute most to your footprint, and how much they contribute, allows you to encourage these suppliers to reduce their emissions over time. Changes in their reported carbon intensity can be entered into the tool to measure the impact this has on your overall emissions.  Supplier carbon intensity may also be sourced, at a cost, through a third party agencies, such as the Carbon Disclosure Project. Use of an agency such as the CDP can help ensure consistency and completeness in data. </t>
    </r>
    <r>
      <rPr>
        <b/>
        <sz val="11"/>
        <color theme="1"/>
        <rFont val="Calibri"/>
        <family val="2"/>
        <scheme val="minor"/>
      </rPr>
      <t>The published or derived carbon intensities of several suppliers have been included as a guide, explanations of where these have been sourced from are in the notes.</t>
    </r>
  </si>
  <si>
    <t>Metric</t>
  </si>
  <si>
    <t>Scope 1+2</t>
  </si>
  <si>
    <t>Scope 1,2 +3</t>
  </si>
  <si>
    <t>Environmental Policy</t>
  </si>
  <si>
    <t>Environmental Management System</t>
  </si>
  <si>
    <t xml:space="preserve">Number of reporting suppliers </t>
  </si>
  <si>
    <t>Total spend with reporting suppliers ($)</t>
  </si>
  <si>
    <t>Total emissions with reporting suppliers (tonnes)</t>
  </si>
  <si>
    <t>% of total spend with reporting suppliers</t>
  </si>
  <si>
    <t>% of spend with suppliers with Net Zero targets</t>
  </si>
  <si>
    <t>Tier 3 footprint for reporting (automatically refines Tier 2 footprint as supplier data is entered below)</t>
  </si>
  <si>
    <t>Supplier name</t>
  </si>
  <si>
    <t xml:space="preserve">T2 Cost code where this spend is currently captured </t>
  </si>
  <si>
    <t>Spend with supplier over the reporting period</t>
  </si>
  <si>
    <t>Default carbon emissions intensity per $ (SC 1,2+3)</t>
  </si>
  <si>
    <t>Supplier carbon intensity per $ sales revenue (SC 1+2)</t>
  </si>
  <si>
    <t>Source</t>
  </si>
  <si>
    <t>Supplier Carbon intensity per $ sales revenue (SC 1,2 +3)</t>
  </si>
  <si>
    <t>Year that supplier data was last updated</t>
  </si>
  <si>
    <r>
      <t>Notes-</t>
    </r>
    <r>
      <rPr>
        <b/>
        <sz val="11"/>
        <color rgb="FFFF0000"/>
        <rFont val="Calibri"/>
        <family val="2"/>
        <scheme val="minor"/>
      </rPr>
      <t xml:space="preserve"> Any pre-supplied emissions intensities from AKDN are based on our own calculations from suppliers published data- see below. These have not been validated with individual companies.</t>
    </r>
  </si>
  <si>
    <t>Supplier water intensity</t>
  </si>
  <si>
    <t>Supplier manufacturing location</t>
  </si>
  <si>
    <t>Does supplier have an environmental policy</t>
  </si>
  <si>
    <t>Does supplier have an environmental management system</t>
  </si>
  <si>
    <t>Suppliers target date for net zero (SC1+2)</t>
  </si>
  <si>
    <t>Suppliers target date for net zero (SC1,2+3)</t>
  </si>
  <si>
    <t>SC1 and 2 emissions</t>
  </si>
  <si>
    <t>SC1,2 and 3 emissions</t>
  </si>
  <si>
    <t>Supplier water footprint</t>
  </si>
  <si>
    <t>Enter name</t>
  </si>
  <si>
    <t>$1,000s</t>
  </si>
  <si>
    <t xml:space="preserve"> kgCO2e/$</t>
  </si>
  <si>
    <t>Number from supplier kgCO2e/$</t>
  </si>
  <si>
    <t>YYYY</t>
  </si>
  <si>
    <t>Number from supplier m3/$</t>
  </si>
  <si>
    <t>Select country</t>
  </si>
  <si>
    <t>m3</t>
  </si>
  <si>
    <t>Glaxosmithkline</t>
  </si>
  <si>
    <t>https://www.gsk.com/media/6662/annual-report-2020.pdf  SC3 reduced by 40.8% to exclude downstream emissions form product use and disposal https://www.gsk.com/media/5906/gsk-value-chain-carbon-footprint-2021.pdf</t>
  </si>
  <si>
    <t>Supplier data-see notes</t>
  </si>
  <si>
    <t>Sanofi</t>
  </si>
  <si>
    <t>https://www.sanofi.com/-/media/Project/One-Sanofi-Web/Websites/Global/Sanofi-COM/Home/common/docs/our-responsibility/documents-center/factsheets-pdf3-2020/carbon-footprint-scopes-1-2-3.pdf?la=en</t>
  </si>
  <si>
    <t>Default estimate (from T2 sheet)</t>
  </si>
  <si>
    <t>Abbot</t>
  </si>
  <si>
    <t xml:space="preserve">https://dam.abbott.com/en-us/documents/pdfs/abbott-citizenship/2017-Global-Metrics-Report.pdf. Scope 3 extrapolated on their estimates Scope 3= 93% of their emissions (5% being downstream in product use and disposal) </t>
  </si>
  <si>
    <t>No data avaliable</t>
  </si>
  <si>
    <t>Pfizer</t>
  </si>
  <si>
    <t>https://cdn.pfizer.com/pfizercom/Pfizer_Inc-CDP_Climate_Change_Questionnaire_2021.pdf</t>
  </si>
  <si>
    <t>Novartis</t>
  </si>
  <si>
    <t xml:space="preserve"> https://www.novartis.com/sites/novartis_com/files/cdp-2020-climate-change-information-request-response.pdf</t>
  </si>
  <si>
    <t>Astra Zeneca</t>
  </si>
  <si>
    <t>https://www.astrazeneca.com/content/dam/az/Sustainability/2021/pdf/Sustainability_Data_Summary_2020.pdf</t>
  </si>
  <si>
    <t>Jonson &amp; Johnson (inc Janssen)</t>
  </si>
  <si>
    <t>https://healthforhumanityreport.jnj.com/</t>
  </si>
  <si>
    <t>Bayer</t>
  </si>
  <si>
    <t>HP</t>
  </si>
  <si>
    <t>page 19: https://www8.hp.com/h20195/v2/GetPDF.aspx/c06601778.pdf</t>
  </si>
  <si>
    <t>Konica</t>
  </si>
  <si>
    <t>See page 67-68. (May include some downstream emissions) https://www.konicaminolta.com/shared/changeable/investors/include/ir_library/ar/ar2020/pdf/konica_minolta_ar2020_e.pdf</t>
  </si>
  <si>
    <t>Canon Group</t>
  </si>
  <si>
    <t>https://global.canon/en/csr/report/pdf/canon-sus-2021-e-14.pdf</t>
  </si>
  <si>
    <t>Apple Inc.</t>
  </si>
  <si>
    <t>Carbon neutral for Sc 1 https://www.apple.com/environment/pdf/Apple_Environmental_Progress_Report_2021.pdf</t>
  </si>
  <si>
    <t>Roche</t>
  </si>
  <si>
    <t>https://www.roche.com/dam/jcr:4c76f641-c532-4b67-98c4-871f909ebd43/en/ar20e.pdf  https://www.roche.com/dam/jcr:2261c446-d303-4055-8ff2-de458001a633/en/Scope-3-Greenhouse-Gas-Emissions.pdf</t>
  </si>
  <si>
    <t>Siemens</t>
  </si>
  <si>
    <t>Merck</t>
  </si>
  <si>
    <t>3M</t>
  </si>
  <si>
    <t>https://multimedia.3m.com/mws/media/2006066O/2021-sustainability-report.pdf</t>
  </si>
  <si>
    <t>Unilever</t>
  </si>
  <si>
    <t>Revenue converted to $ @1.13euro/$- For unilever- down stream distribution and logistics has been included as this is clearly identified in reports as being logistics from unilevers distribution nertwork and logistic providers. https://assets.unilever.com/files/92ui5egz/production/e665693f2bd2efbbde5658baf84043df7937cfd7.pdf/annual-report-and-accounts-2020.pdf</t>
  </si>
  <si>
    <t>Schneider-Electric</t>
  </si>
  <si>
    <t>Revenue converted to $ @1.13euro/$ https://download.schneider-electric.com/files?p_Doc_Ref=Carbon_Pledge_EN</t>
  </si>
  <si>
    <t>Cummins</t>
  </si>
  <si>
    <t>https://www.cummins.com/sites/default/files/2021-06/2020-21_cummins_sustainability_report.pdf  Incomple SC 1+2 emissions as these exclude sold electricity, mobile sources and fugitive CO2
e emissions from welding and refrigerants</t>
  </si>
  <si>
    <t>Boehringer Ingelheim</t>
  </si>
  <si>
    <t>https://www.boehringer-ingelheim.com/sustainability/environment-health-and-safety/performance-indicators</t>
  </si>
  <si>
    <t>Carl Zeiss AG</t>
  </si>
  <si>
    <t>https://www.zeiss.com/content/dam/corporate-new/about-zeiss/responsibility/download/sustainability-report_2019_2020.pdf</t>
  </si>
  <si>
    <t>Glenmark</t>
  </si>
  <si>
    <t>https://www.glenmarkpharma.com/sites/default/files/Glenmark-Sustainability-Report-FY-2019-20.pdf (Indian rupee to $ @ 0.013)</t>
  </si>
  <si>
    <t>Becton Dickinson</t>
  </si>
  <si>
    <t>Bosch</t>
  </si>
  <si>
    <t>GE Healthcare</t>
  </si>
  <si>
    <t>Cipla</t>
  </si>
  <si>
    <t>Medtronic</t>
  </si>
  <si>
    <t>Lifetech</t>
  </si>
  <si>
    <r>
      <rPr>
        <b/>
        <sz val="11"/>
        <color theme="1"/>
        <rFont val="Arial"/>
        <family val="2"/>
      </rPr>
      <t>Tier 2 supply chain footprinting</t>
    </r>
    <r>
      <rPr>
        <sz val="11"/>
        <color theme="1"/>
        <rFont val="Arial"/>
        <family val="2"/>
      </rPr>
      <t xml:space="preserve"> is to support the identification of potential carbon hotspots in your supply chain and establish an initial baseline. This can help prioritisation of your organisations work to reduce your Scope 3 supply chain emissions. To undertake Tier 2 footprinting you need to map your organisations financial cost codes to the UK industry sector carbon intensity factors.  </t>
    </r>
    <r>
      <rPr>
        <sz val="11"/>
        <color rgb="FFFF0000"/>
        <rFont val="Arial"/>
        <family val="2"/>
      </rPr>
      <t>A list of pre-mapped codes is currently included below. While the pre-mapped codes are unlikely to match your own organisations financial cost codes, you may want to use these as a guide, adapting or removing them and adding your own as necessary.</t>
    </r>
    <r>
      <rPr>
        <sz val="11"/>
        <color theme="1"/>
        <rFont val="Arial"/>
        <family val="2"/>
      </rPr>
      <t xml:space="preserve"> </t>
    </r>
  </si>
  <si>
    <t>https://assets.publishing.service.gov.uk/government/uploads/system/uploads/attachment_data/file/404542/Table_13_Indirect_emissions_from_supply_chain_2007-2011.xls</t>
  </si>
  <si>
    <t>Construction factor</t>
  </si>
  <si>
    <t>https://www.gov.uk/government/statistics/uks-carbon-footprint</t>
  </si>
  <si>
    <t>Full factor set</t>
  </si>
  <si>
    <t xml:space="preserve">https://assets.publishing.service.gov.uk/government/uploads/system/uploads/attachment_data/file/873572/Data_download_consumption_emissions_1997_2017.ods </t>
  </si>
  <si>
    <t>GBP</t>
  </si>
  <si>
    <t xml:space="preserve">To map your own codes you must first copy your full cost code list into Column A below.  Then, working one cost code at a time, identify all the UK factor set codes in Column E that could relate to each of your codes. Copy and paste the EXACT text of your code, including spaces and punctuation, into the all relevant cells in Column G that are next to a UK sector code relating to your cost code. As you 'map' each of your cost codes in this way, Column B will show an average conversion factor based on all the UK factor codes you have mapped against your cost code. Column C will show this converted into US dollars using the conversion rate in Cell F7. If you Identify that a UK factor relates to more than one of your cost codes, add the a second, third, fourth or fifth entry into columns H,I, J or K. Any Cost code category cells in Column A without text MUST contain an underscore character (_) as a place holder. </t>
  </si>
  <si>
    <t>US$</t>
  </si>
  <si>
    <t>Cost code categories</t>
  </si>
  <si>
    <t>CO2 per £ derived from mapping to UK factor set</t>
  </si>
  <si>
    <t>kg CO2 per $ derived from mapping to UK factor set</t>
  </si>
  <si>
    <t xml:space="preserve">UK factor set cost codes </t>
  </si>
  <si>
    <t>GHG (kgCO2e per £)</t>
  </si>
  <si>
    <t>Mapped cost code 1</t>
  </si>
  <si>
    <t>Mapped cost code 2</t>
  </si>
  <si>
    <t>Mapped cost code 3</t>
  </si>
  <si>
    <t>Mapped cost code 4</t>
  </si>
  <si>
    <t>Mapped cost code 5</t>
  </si>
  <si>
    <t>Anesthetic Gases</t>
  </si>
  <si>
    <t>1.1.1.1 Rice</t>
  </si>
  <si>
    <t>Food Supplies</t>
  </si>
  <si>
    <t>Building fuels, generator diesel, gas etc.  </t>
  </si>
  <si>
    <t>1.1.1.2 Bread</t>
  </si>
  <si>
    <t>Animal and Animal Supplies</t>
  </si>
  <si>
    <t>1.1.1.3 Other breads and cereals</t>
  </si>
  <si>
    <t>Cleaning Supplies</t>
  </si>
  <si>
    <t>1.1.2 Pasta products</t>
  </si>
  <si>
    <t xml:space="preserve">Dental supplies </t>
  </si>
  <si>
    <t>1.1.3.1 Buns, crispbread and biscuits</t>
  </si>
  <si>
    <t>Communication Accessories</t>
  </si>
  <si>
    <t>1.1.3.2 Cakes and puddings</t>
  </si>
  <si>
    <t>Communication Equipment</t>
  </si>
  <si>
    <t>1.1.4 Pastry (savoury)</t>
  </si>
  <si>
    <t>Communication Supplies</t>
  </si>
  <si>
    <t>1.1.5 Beef (fresh, chilled or frozen)</t>
  </si>
  <si>
    <t>Computer Hardware Maintenance</t>
  </si>
  <si>
    <t>1.1.6 Pork (fresh, chilled or frozen)</t>
  </si>
  <si>
    <t>Computer S/W License &amp; Rental</t>
  </si>
  <si>
    <t>1.1.7 Lamb (fresh, chilled or frozen)</t>
  </si>
  <si>
    <t>Construction Materials</t>
  </si>
  <si>
    <t>1.1.8 Poultry (fresh, chilled or frozen)</t>
  </si>
  <si>
    <t>Electricity</t>
  </si>
  <si>
    <t>1.1.9 Bacon and ham</t>
  </si>
  <si>
    <t>Employee Apparel</t>
  </si>
  <si>
    <t>1.1.10.1 Sausages</t>
  </si>
  <si>
    <t>Enteral Feeds</t>
  </si>
  <si>
    <t>1.1.10.2 Offal, pate etc</t>
  </si>
  <si>
    <t>Facilities Maintenance Equipment</t>
  </si>
  <si>
    <t>1.1.10.3 Other preserved or processed meat and meat preparations</t>
  </si>
  <si>
    <t>Fast Moving Consumer Goods</t>
  </si>
  <si>
    <t>1.1.10.4 Other fresh, chilled or frozen edible meat</t>
  </si>
  <si>
    <t>1.1.11.1 Fish (fresh, chilled or frozen)</t>
  </si>
  <si>
    <t>Fuel and Lubricants</t>
  </si>
  <si>
    <t>1.1.11.2 Seafood, dried, smoked or salted fish</t>
  </si>
  <si>
    <t>Furniture &amp; Fixture</t>
  </si>
  <si>
    <t>1.1.11.3 Other preserved or processed fish and seafood</t>
  </si>
  <si>
    <t>Gift shop supplies</t>
  </si>
  <si>
    <t>1.1.12.1 Whole milk</t>
  </si>
  <si>
    <t>Office Refreshments TJS</t>
  </si>
  <si>
    <t>Gas (Utility)</t>
  </si>
  <si>
    <t>1.1.12.2 Low fat milk</t>
  </si>
  <si>
    <t>Household Equipment</t>
  </si>
  <si>
    <t>1.1.12.3 Preserved milk</t>
  </si>
  <si>
    <t>Imaging Supplies</t>
  </si>
  <si>
    <t>1.1.13 Cheese and curd</t>
  </si>
  <si>
    <t>IT Accessories</t>
  </si>
  <si>
    <t>1.1.14 Eggs</t>
  </si>
  <si>
    <t>IT Equipment</t>
  </si>
  <si>
    <t>1.1.15.1 Other milk products</t>
  </si>
  <si>
    <t>IT Supplies</t>
  </si>
  <si>
    <t>1.1.15.2 Yoghurt</t>
  </si>
  <si>
    <t>Journals</t>
  </si>
  <si>
    <t>1.1.16 Butter</t>
  </si>
  <si>
    <t>Kitchen &amp; Laundry Equipment</t>
  </si>
  <si>
    <t>1.1.17 Margarine and other vegetable fats and peanut butter</t>
  </si>
  <si>
    <t>Laboratory Consumables, Chemicals &amp; Supplies</t>
  </si>
  <si>
    <t>1.1.18.1 Olive oil</t>
  </si>
  <si>
    <t>Linen Supplies</t>
  </si>
  <si>
    <t>1.1.18.2 Edible oils and other animal fats</t>
  </si>
  <si>
    <t>Medical Equipment</t>
  </si>
  <si>
    <t>1.1.19.1 Citrus fuits</t>
  </si>
  <si>
    <t>Medical Surgical and Laboratory Equipment</t>
  </si>
  <si>
    <t>1.1.19.2 Bananas</t>
  </si>
  <si>
    <t>Medical Surgical Supplies</t>
  </si>
  <si>
    <t>1.1.19.3 Apples</t>
  </si>
  <si>
    <t>Minor Equipment</t>
  </si>
  <si>
    <t>1.1.19.4 Pears</t>
  </si>
  <si>
    <t>MRO Supplies</t>
  </si>
  <si>
    <t>1.1.19.5 Stone fruits</t>
  </si>
  <si>
    <t>Office Equipment</t>
  </si>
  <si>
    <t>1.1.19.6 Berries</t>
  </si>
  <si>
    <t>1.1.20 Other fresh, chilled or frozen fruits</t>
  </si>
  <si>
    <t>Office Stationery Supplies</t>
  </si>
  <si>
    <t>1.1.21 Dried fruit and nuts</t>
  </si>
  <si>
    <t>Patient attire/bedding</t>
  </si>
  <si>
    <t>1.1.22 Preserved fruit and fruit based products</t>
  </si>
  <si>
    <t>Pharmaceuticals</t>
  </si>
  <si>
    <t>1.1.23.1 Leaf and stem vegetables</t>
  </si>
  <si>
    <t>Photography</t>
  </si>
  <si>
    <t>1.1.23.2 Cabbages</t>
  </si>
  <si>
    <t>Plant, HVAC, MEP Equip &amp; Auxil</t>
  </si>
  <si>
    <t>1.1.23.3 Vegetables grown for their fruit</t>
  </si>
  <si>
    <t>Published and Printed Material</t>
  </si>
  <si>
    <t>1.1.23.4 Root crops, non starchy bulbs and mushrooms</t>
  </si>
  <si>
    <t>Repair and Maintenance-Equipment</t>
  </si>
  <si>
    <t>1.1.24 Dried vegetables</t>
  </si>
  <si>
    <t>Safety &amp; Fire Protection Supplies</t>
  </si>
  <si>
    <t>1.1.25 Other prepared or processed vegetables</t>
  </si>
  <si>
    <t>Serving Items</t>
  </si>
  <si>
    <t>1.1.26 Potatoes</t>
  </si>
  <si>
    <t>Spares &amp; Accessories-Equipment</t>
  </si>
  <si>
    <t>1.1.27 Other tubers and products of tuber vegetables</t>
  </si>
  <si>
    <t>Sports &amp; Rehabilitation Equipment</t>
  </si>
  <si>
    <t>1.1.28.1 Sugar</t>
  </si>
  <si>
    <t>Sports Goods</t>
  </si>
  <si>
    <t>1.1.28.2 Other sugar products</t>
  </si>
  <si>
    <t>Staff Travel (by Air) International + Domestic</t>
  </si>
  <si>
    <t>1.1.29 Jams and marmalades</t>
  </si>
  <si>
    <t>Surgical Instruments</t>
  </si>
  <si>
    <t>1.1.30 Chocolate</t>
  </si>
  <si>
    <t>Vehicles</t>
  </si>
  <si>
    <t>1.1.31 Confectionery products</t>
  </si>
  <si>
    <t>Vehicles Fuel</t>
  </si>
  <si>
    <t>1.1.32 Edible ices and ice cream</t>
  </si>
  <si>
    <t>1.1.33.1 Sauces, condiments</t>
  </si>
  <si>
    <t>Vehicle Maintenance-Equipment, Insurance, Rent</t>
  </si>
  <si>
    <t>1.1.33.2 Bakers yeast, dessert preparations, soups</t>
  </si>
  <si>
    <t>Refrigerant gases for cooling systems</t>
  </si>
  <si>
    <t>1.1.33.3 Salt, spices, herbs and other food products</t>
  </si>
  <si>
    <t>Buidings or land rent/lease</t>
  </si>
  <si>
    <t>1.2.1 Coffee</t>
  </si>
  <si>
    <t>Other professional fees</t>
  </si>
  <si>
    <t>1.2.2 Tea</t>
  </si>
  <si>
    <t>Insurance</t>
  </si>
  <si>
    <t>1.2.3 Cocoa and powdered chocolate</t>
  </si>
  <si>
    <t>Bank fees</t>
  </si>
  <si>
    <t>1.2.4 Fruit and vegetable juices</t>
  </si>
  <si>
    <t>Construction Contracts (not materials)</t>
  </si>
  <si>
    <t>1.2.5 Mineral or spring waters</t>
  </si>
  <si>
    <t>_</t>
  </si>
  <si>
    <t>1.2.6 Soft drinks</t>
  </si>
  <si>
    <t>2.1.1 Spirits and liqueurs</t>
  </si>
  <si>
    <t>2.1.2.1 Wine from grape or other fruit</t>
  </si>
  <si>
    <t>2.1.2.2 Fortified wine</t>
  </si>
  <si>
    <t>2.1.2.3 Champagne and sparkling wines</t>
  </si>
  <si>
    <t>2.1.3.1 Beer and lager</t>
  </si>
  <si>
    <t>2.1.3.2 Ciders and Perry</t>
  </si>
  <si>
    <t>2.1.4 Alcopops</t>
  </si>
  <si>
    <t>2.2.1 Cigarettes</t>
  </si>
  <si>
    <t>2.2.2.1 Cigars</t>
  </si>
  <si>
    <t>2.2.2.2 Other tobacco</t>
  </si>
  <si>
    <t>3.1.1 Mens outer garments</t>
  </si>
  <si>
    <t>3.1.2 Mens under garments</t>
  </si>
  <si>
    <t>3.1.3 Womens outer garments</t>
  </si>
  <si>
    <t>3.1.4 Womens under garments</t>
  </si>
  <si>
    <t>3.1.5 Boys outer garments</t>
  </si>
  <si>
    <t>3.1.6 Girls outer garments</t>
  </si>
  <si>
    <t>3.1.7 Infants outer garments</t>
  </si>
  <si>
    <t>3.1.8 Childrens under garments</t>
  </si>
  <si>
    <t>3.1.9.1 Mens accessories</t>
  </si>
  <si>
    <t>3.1.9.2 Womens accessories</t>
  </si>
  <si>
    <t>3.1.9.3 Childrens accessories</t>
  </si>
  <si>
    <t>3.1.9.4 Protective head gear</t>
  </si>
  <si>
    <t>3.1.10 Haberashery, clothing materials and clothing hire</t>
  </si>
  <si>
    <t>3.1.11.1 Dry cleaners and dyeing</t>
  </si>
  <si>
    <t>3.1.11.2 Laundry, laundrettes</t>
  </si>
  <si>
    <t>3.2.1 Footwear for men</t>
  </si>
  <si>
    <t>3.2.2 Footwear for women</t>
  </si>
  <si>
    <t>3.2.3 Footwear for children and infants</t>
  </si>
  <si>
    <t>3.2.4 Repair and hire of footwear</t>
  </si>
  <si>
    <t>4.1.1 Actual rentals</t>
  </si>
  <si>
    <t>4.1.2 Imputed rent</t>
  </si>
  <si>
    <t>4.2.1 Central heating repairs</t>
  </si>
  <si>
    <t>4.2.2 House maintenance</t>
  </si>
  <si>
    <t>4.2.3 Paint, wallpaper, timber</t>
  </si>
  <si>
    <t>Capital Items (other than FF)</t>
  </si>
  <si>
    <t>4.2.4 Equipment hire, small materials</t>
  </si>
  <si>
    <t>4.3.1 Water charges</t>
  </si>
  <si>
    <t>4.3.2 Other regular househing payments incl service charge for rent</t>
  </si>
  <si>
    <t>4.3.3 Refuse collection including skip hire</t>
  </si>
  <si>
    <t>4.4.1 Electricity</t>
  </si>
  <si>
    <t>4.4.2 Gas</t>
  </si>
  <si>
    <t>4.4.3.1 Coal and coke</t>
  </si>
  <si>
    <t>4.4.3.2 Oil for central heating</t>
  </si>
  <si>
    <t>4.4.3.3 Paraffin, weed, peat, hot water etc</t>
  </si>
  <si>
    <t>5.1.1.1 Furniture</t>
  </si>
  <si>
    <t>5.1.1.2 Fancy/decorative goods</t>
  </si>
  <si>
    <t>5.1.1.3 Garden furniture</t>
  </si>
  <si>
    <t>5.1.2.1 Soft floor coverings</t>
  </si>
  <si>
    <t>5.1.2.2 Hard floor coverings</t>
  </si>
  <si>
    <t>5.2.1 Bedroom textiles including duvets and pillows</t>
  </si>
  <si>
    <t>5.2.2 Other household textiles, including cushions,towells, curtains</t>
  </si>
  <si>
    <t>5.3.1 Gas cookers</t>
  </si>
  <si>
    <t>5.3.2 Electric cookers, combined gas/electric cookers</t>
  </si>
  <si>
    <t>5.3.3 Clothes washing machines and clothes drying machines</t>
  </si>
  <si>
    <t>5.3.4 Refridgerators, freezers and fridge freezers</t>
  </si>
  <si>
    <t>5.3.5 Other major electrical appliances e.g. dish washers, microaves, vacuum cleaners, heaters</t>
  </si>
  <si>
    <t>5.3.6 Fire extinguishers</t>
  </si>
  <si>
    <t>5.3.7 Small electric household appliances</t>
  </si>
  <si>
    <t>5.3.8 Spare parts for appliances and repairs</t>
  </si>
  <si>
    <t>5.3.9 Rental/hire of major hhold appliances</t>
  </si>
  <si>
    <t>5.4.1 Glassware, china, pottery, cutlery and silverware</t>
  </si>
  <si>
    <t>5.4.2 Kitchen and domestic utensils</t>
  </si>
  <si>
    <t>5.4.3 Repair of glassware, tableware and household utensils</t>
  </si>
  <si>
    <t>5.4.4 Storage and other durable household articles</t>
  </si>
  <si>
    <t>5.5.1 Electrical tools</t>
  </si>
  <si>
    <t>5.5.2 Garden tools, equipment and accessories</t>
  </si>
  <si>
    <t>5.5.3 Small tools</t>
  </si>
  <si>
    <t>5.5.4 Door, electrical and other fittings</t>
  </si>
  <si>
    <t>5.5.5 Electrical consumables</t>
  </si>
  <si>
    <t>5.6.1.1 Detergents, washing-up liquid, washing powder</t>
  </si>
  <si>
    <t>5.6.1.2 Disinfectants, polishes, other cleaning materials, some pest controls</t>
  </si>
  <si>
    <t>5.6.2.1 Kitchen disposibles</t>
  </si>
  <si>
    <t>5.6.2.2 Household hardwear and appliances, matches</t>
  </si>
  <si>
    <t>5.6.2.3 Kitchen gloves, cloths etc</t>
  </si>
  <si>
    <t>5.6.2.4 Pins, needles, tape measures, nails, nuts and bolts</t>
  </si>
  <si>
    <t>5.6.3.1 Domestic services including cleaners, gardeners, au pairs</t>
  </si>
  <si>
    <t>5.6.3.2 Carpet cleaning , ironing service and window cleaner</t>
  </si>
  <si>
    <t>5.6.3.3 Hire/repairof household furniture and furnishings</t>
  </si>
  <si>
    <t>6.1.1.1 NHS prescription charges and payments</t>
  </si>
  <si>
    <t>6.1.1.2 Medicines and medical goods (not NHS)</t>
  </si>
  <si>
    <t>6.1.1.3 Other medical products</t>
  </si>
  <si>
    <t>6.1.1.4 Non-optical appliances and equipment</t>
  </si>
  <si>
    <t>6.1.2.1 Purchse of spectacles, lenses, prescription sunglasses</t>
  </si>
  <si>
    <t>6.1.2.2 Accessories/repairs to spectacles/lenses</t>
  </si>
  <si>
    <t>6.2.1.1 NHS medical, optical, dental and medical auxillary services</t>
  </si>
  <si>
    <t>6.2.1.2 Private medical, optical, dental and auxillary services</t>
  </si>
  <si>
    <t>6.2.1.3 Other services</t>
  </si>
  <si>
    <t>6.2.2 In-patient hospital services</t>
  </si>
  <si>
    <t>7.1.1.1 New cars/vans outright purchase</t>
  </si>
  <si>
    <t>7.1.1.2 New cars/vans loan/HP purcase</t>
  </si>
  <si>
    <t>7.1.2.1 Secondhand cars/vans outright purchase</t>
  </si>
  <si>
    <t>7.1.2.2 Secondhand cars/vans loan/HP purcase</t>
  </si>
  <si>
    <t>7.1.3.1 Outright purchase of new or secondhand motorcycles</t>
  </si>
  <si>
    <t>7.1.3.2 Loan/HP purchase of new or secondhand motor cycles</t>
  </si>
  <si>
    <t>7.1.3.3 Purchase of bicycles and other vehicles</t>
  </si>
  <si>
    <t>7.2.1.1 Can/van accessories and fittings</t>
  </si>
  <si>
    <t>7.2.1.2 Car/van spare parts</t>
  </si>
  <si>
    <t>7.2.1.3 Motorcycle accessories and spare parts</t>
  </si>
  <si>
    <t>7.2.1.4 Bicycle accessories and spare parts</t>
  </si>
  <si>
    <t>7.2.2.1 Petrol</t>
  </si>
  <si>
    <t>7.2.2.2 Diesel oil</t>
  </si>
  <si>
    <t>7.2.2.3 Other motor oils</t>
  </si>
  <si>
    <t>7.2.3.1 Car of van repairs, servicing and other work</t>
  </si>
  <si>
    <t>7.2.3.2 Motor cycle repairs and servicing</t>
  </si>
  <si>
    <t>7.2.4.1 Motoing organisation subscription</t>
  </si>
  <si>
    <t>7.2.4.2 Garage rent other costs, car washing</t>
  </si>
  <si>
    <t>7.2.4.3 Parking fees, tolls and permits</t>
  </si>
  <si>
    <t>7.2.4.4 Driving lessons</t>
  </si>
  <si>
    <t>7.2.4.5 Anti-freeze, battery water, cleaning materials</t>
  </si>
  <si>
    <t>7.3.1.1 Rail and tube season tickets</t>
  </si>
  <si>
    <t>7.3.1.2 Rail and tube other than season tickets</t>
  </si>
  <si>
    <t>7.3.2.1 Bus and coach season tickets</t>
  </si>
  <si>
    <t>7.3.2.2 Bus and coach other than season tickets</t>
  </si>
  <si>
    <t>7.3.3.1 Combined fares other than season tickets</t>
  </si>
  <si>
    <t>7.3.3.2 Combined fares season tickets</t>
  </si>
  <si>
    <t>7.3.4.1 Air fares within UK</t>
  </si>
  <si>
    <t>7.3.4.2 Air fares inernational</t>
  </si>
  <si>
    <t>7.3.4.3 School travel</t>
  </si>
  <si>
    <t>7.3.4.4 Taxis and hired cars with drivers</t>
  </si>
  <si>
    <t>7.3.4.5 Other personal travel and transport services</t>
  </si>
  <si>
    <t>7.3.4.6 Hire of self drive cars, vans, bicycles</t>
  </si>
  <si>
    <t>7.3.4.7 Car leasing</t>
  </si>
  <si>
    <t>7.3.4.8 Water travel, ferries and season tickets</t>
  </si>
  <si>
    <t>8.1 Postal services</t>
  </si>
  <si>
    <t>8.2.1 Telephone purchase</t>
  </si>
  <si>
    <t>8.2.2 Mobile phone purchase</t>
  </si>
  <si>
    <t>8.2.3 Answering machine, fax machine purchase</t>
  </si>
  <si>
    <t>8.3.1 Telephone account</t>
  </si>
  <si>
    <t>8.3.2 Telephone coin and other payments</t>
  </si>
  <si>
    <t>8.3.3 Mobile phone account</t>
  </si>
  <si>
    <t>8.3.4 Mobile phone othr apyments</t>
  </si>
  <si>
    <t>8.4 Internet subscription fees</t>
  </si>
  <si>
    <t>9.1.1.1 Audio equipment, CD players incl. in car</t>
  </si>
  <si>
    <t>9.1.1.2 Audio accessories e.g. tapes, CDs, headphones</t>
  </si>
  <si>
    <t>9.1.2.1 Purchase of TV and digital decoder</t>
  </si>
  <si>
    <t>9.1.2.2 Satellite dish purchase and installation</t>
  </si>
  <si>
    <t>9.1.2.3 Cable TV connection</t>
  </si>
  <si>
    <t>9.1.2.4 Video recorder</t>
  </si>
  <si>
    <t>9.1.2.5 DVD player/recorder</t>
  </si>
  <si>
    <t>9.1.2.6 Blank, pre-recorded video cassettes and DVDs</t>
  </si>
  <si>
    <t>9.1.2.7 Personal computers, printers and calculators</t>
  </si>
  <si>
    <t>9.1.2.8 Spare parts for TV, video, audio</t>
  </si>
  <si>
    <t>9.1.2.9 Repare of AV</t>
  </si>
  <si>
    <t>9.1.3.1 Photographic and cine equipment</t>
  </si>
  <si>
    <t>9.1.3.2 Camera films</t>
  </si>
  <si>
    <t>9.1.3.3 Optical instruments, binoculars, telescopes</t>
  </si>
  <si>
    <t>9.2.1 Purchase of boats, trailers and horses</t>
  </si>
  <si>
    <t>9.2.2 Purchase of caravans, mobile homes</t>
  </si>
  <si>
    <t>9.2.3 Accessoris for boats, horses, caravans and motorhomes</t>
  </si>
  <si>
    <t>9.2.4 Musical instruments</t>
  </si>
  <si>
    <t>9.2.5 Major durables for indoor recreation</t>
  </si>
  <si>
    <t>9.2.6 Maintenance and repair or other major durables for recreation and culture</t>
  </si>
  <si>
    <t>9.2.7 Purchase of motor caravan - outright purchase</t>
  </si>
  <si>
    <t>9.2.8 Purchase of motor caravan  - loan/HP</t>
  </si>
  <si>
    <t>9.3.1 Games, toys and hobbies</t>
  </si>
  <si>
    <t>9.3.2.1 Computer software and games cartridges</t>
  </si>
  <si>
    <t>9.3.2.2 Console computer games</t>
  </si>
  <si>
    <t>9.3.3 Equipment for sport, camping and open-air recreation</t>
  </si>
  <si>
    <t>9.3.4.1 BBQ and swings</t>
  </si>
  <si>
    <t>9.3.4.2 Plants, flowers, seeds, fertiliers, insecticides</t>
  </si>
  <si>
    <t>9.3.4.3 Garden decorative</t>
  </si>
  <si>
    <t>9.3.4.4 Artificial flowers, pot pourri</t>
  </si>
  <si>
    <t>9.3.5.1 Pet food</t>
  </si>
  <si>
    <t>9.3.5.2 Pet purchase and accessories</t>
  </si>
  <si>
    <t>9.3.5.3 Vetinary and other services for pets</t>
  </si>
  <si>
    <t>9.4.1.1 Spectator sports - admission charges</t>
  </si>
  <si>
    <t>9.4.1.2 Participant sports</t>
  </si>
  <si>
    <t>9.4.1.3 Subscriotions to sorts and social clubs</t>
  </si>
  <si>
    <t>9.4.1.4 Hire of equipment for sport</t>
  </si>
  <si>
    <t>9.4.1.5 Leisure class fees</t>
  </si>
  <si>
    <t>9.4.2.1 Cinemas</t>
  </si>
  <si>
    <t>9.4.2.2 Live entertainment, theatre, concerts, shows</t>
  </si>
  <si>
    <t>9.4.2.3 Museums, zoological gardens, theme parks</t>
  </si>
  <si>
    <t>9.4.3.1 TV licences</t>
  </si>
  <si>
    <t>9.4.3.2 Satellite subscriptions</t>
  </si>
  <si>
    <t>9.4.3.3 Rent for TV/Satellite/VCR</t>
  </si>
  <si>
    <t>9.4.3.4 Cable subscriptions</t>
  </si>
  <si>
    <t>9.4.3.5 TV slot meter payments</t>
  </si>
  <si>
    <t>9.4.3.6 Video, cassette and CD hire</t>
  </si>
  <si>
    <t>9.4.4.1 Admissions to clubs, dances. Discos, bingo</t>
  </si>
  <si>
    <t>9.4.4.2 Social events and gatherings</t>
  </si>
  <si>
    <t>9.4.4.3 Subscriptions for leisure activities</t>
  </si>
  <si>
    <t>9.4.5 Development of film, photos</t>
  </si>
  <si>
    <t>9.4.6.1 Football pools stakes</t>
  </si>
  <si>
    <t>9.4.6.2 Bingo stakes</t>
  </si>
  <si>
    <t>9.4.6.3 Lottery</t>
  </si>
  <si>
    <t>9.4.6.4 Bookmaker, tote, other betting stakes</t>
  </si>
  <si>
    <t>9.5.1 Books</t>
  </si>
  <si>
    <t>9.5.2 Diaries, address books, cards etc</t>
  </si>
  <si>
    <t>9.5.3 Cards, calendars, posters and other printed matter</t>
  </si>
  <si>
    <t>9.5.4 Newspapers</t>
  </si>
  <si>
    <t>9.5.5 Magazines and periodicals</t>
  </si>
  <si>
    <t>10.1 Education</t>
  </si>
  <si>
    <t>10.2 Educational trips</t>
  </si>
  <si>
    <t>11.1.1 Restaurant and café meals</t>
  </si>
  <si>
    <t xml:space="preserve">11.1.2 Alcoholic beverages </t>
  </si>
  <si>
    <t>11.1.3 Takeaway meals</t>
  </si>
  <si>
    <t>11.1.4.1 Hot food and cold food</t>
  </si>
  <si>
    <t>11.1.4.2 Confectionery</t>
  </si>
  <si>
    <t>11.1.4.3 Ice cream</t>
  </si>
  <si>
    <t>11.1.4.4 Soft drink</t>
  </si>
  <si>
    <t>11.1.5 Contract catering</t>
  </si>
  <si>
    <t>11.1.6.1 School meals</t>
  </si>
  <si>
    <t>11.1.6.2 Meals bought in workplace</t>
  </si>
  <si>
    <t>11.2.1 Holiday in the UK</t>
  </si>
  <si>
    <t>11.2.2 Holiday abroad</t>
  </si>
  <si>
    <t>11.2.3 Room hire</t>
  </si>
  <si>
    <t>12.1.1 Hairdressing, beauty treatement</t>
  </si>
  <si>
    <t>12.1.2 Toilet paper</t>
  </si>
  <si>
    <t>12.1.3.1 Toiletries</t>
  </si>
  <si>
    <t>12.1.3.2 Bar of soap, liquid soap, shower gel</t>
  </si>
  <si>
    <t>12.1.3.3 Toilet requisites</t>
  </si>
  <si>
    <t>12.1.4 Baby toiletries and accessories</t>
  </si>
  <si>
    <t>12.1.5.1 Hair products</t>
  </si>
  <si>
    <t>12.1.5.2 Cosmetics and related accessories</t>
  </si>
  <si>
    <t>12.1.5.3 Electrical appliances for personal care</t>
  </si>
  <si>
    <t>12.2.1.1 Jewellery clocks and watches and other personal effects</t>
  </si>
  <si>
    <t>12.2.1.2 Leather and travel goods</t>
  </si>
  <si>
    <t>12.2.1.3 Sunglasses</t>
  </si>
  <si>
    <t>12.2.2.1 Baby equipment</t>
  </si>
  <si>
    <t>12.2.2.2 Prams, pram accessories</t>
  </si>
  <si>
    <t>12.2.2.3 Repairs to personal goods</t>
  </si>
  <si>
    <t>12.3.1.1 Residential homes</t>
  </si>
  <si>
    <t>12.3.1.2 Home help</t>
  </si>
  <si>
    <t>12.3.1.3 Nursery, creche, playschools</t>
  </si>
  <si>
    <t>12.3.1.4 Child care payments</t>
  </si>
  <si>
    <t>12.4.1.1 Structure insurance</t>
  </si>
  <si>
    <t>12.4.1.2 Contents insurance</t>
  </si>
  <si>
    <t>12.4.1.3 Insurance for household items</t>
  </si>
  <si>
    <t>12.4.2 Medical insurance premiums</t>
  </si>
  <si>
    <t>12.4.3.1 Vehicle insurance</t>
  </si>
  <si>
    <t>12.4.3.2 Boat insurance</t>
  </si>
  <si>
    <t>12.4.4 Non package holiday, other travel insurance</t>
  </si>
  <si>
    <t>12.5.1.1 Moving and storage of furniture</t>
  </si>
  <si>
    <t>12.5.1.2 Property transaction - purchase and sale</t>
  </si>
  <si>
    <t>12.5.1.3 Property transaction - sale only</t>
  </si>
  <si>
    <t>12.5.1.4 Property transaction - purchase only</t>
  </si>
  <si>
    <t>12.5.1.5 Property transaction - other payments</t>
  </si>
  <si>
    <t>12.5.2.1 Bank building society fees</t>
  </si>
  <si>
    <t>12.5.2.2 Bank and post office counter charges</t>
  </si>
  <si>
    <t>12.5.2.3 Credit card fees</t>
  </si>
  <si>
    <t>12.5.3.1 Other professional fees</t>
  </si>
  <si>
    <t>12.5.3.2 Legal fees</t>
  </si>
  <si>
    <t>12.5.3.3 Funeral expenses</t>
  </si>
  <si>
    <t>12.5.3.4 TU and professional organisations</t>
  </si>
  <si>
    <t>12.5.3.5 Other payments for services</t>
  </si>
  <si>
    <t>Non-profit
instns serving
households</t>
  </si>
  <si>
    <t>Central
government</t>
  </si>
  <si>
    <t>Local
Authorities</t>
  </si>
  <si>
    <t>Gross fixed
capital
formation</t>
  </si>
  <si>
    <t>Valuables</t>
  </si>
  <si>
    <t>Changes in inventories</t>
  </si>
  <si>
    <t>Construction</t>
  </si>
  <si>
    <t>Emissions source:</t>
  </si>
  <si>
    <t>Fuels</t>
  </si>
  <si>
    <t>Factor set:</t>
  </si>
  <si>
    <t>UK DEFRA unless noted otherwise</t>
  </si>
  <si>
    <t>Bioenergy</t>
  </si>
  <si>
    <t>UK DEFRA</t>
  </si>
  <si>
    <t>Anaesthetics</t>
  </si>
  <si>
    <t>With GHG protocol AR6</t>
  </si>
  <si>
    <t>see Anaesthetics properties tab for sources</t>
  </si>
  <si>
    <t>Business travel- air</t>
  </si>
  <si>
    <t>Business travel- sea</t>
  </si>
  <si>
    <t>Business travel- land</t>
  </si>
  <si>
    <t>Delivery vehicles</t>
  </si>
  <si>
    <t>Passenger vehicles</t>
  </si>
  <si>
    <t>Refrigerant &amp; other</t>
  </si>
  <si>
    <t>Material use</t>
  </si>
  <si>
    <t>Freighting goods</t>
  </si>
  <si>
    <t>Full set</t>
  </si>
  <si>
    <t>N/A</t>
  </si>
  <si>
    <t>GHG protocol + IPCC EFDB</t>
  </si>
  <si>
    <t>Version</t>
  </si>
  <si>
    <t>Scope 1 and 3</t>
  </si>
  <si>
    <t>2009 (GHGP), 2021 (IPCC)</t>
  </si>
  <si>
    <t>AKDN factor look up table. This shortened and tailored factor set is drawn from the relevant EPA and UK DEFRA factor tables to the right and drives the calculations in the data sheets. The KgCO2e factors include combined impacts from CO2, N2O and CH4. Where no factors is available for the units, the fuel properties sheet may be used to convert between units.</t>
  </si>
  <si>
    <t>More factors than are needed are presented here to aid updating from the UK factor set.  Only gross Calorific Value figures are needed. Some factors (natural gas, average biofuel blend) relate to UK average mixes, these should not be used.  factors for Propane and Butane for canister have had to be sourced separately from the US EPA data.</t>
  </si>
  <si>
    <t>Within the Scope 1 conversion factors for biofuels, the CO2 emissions value is set as net ‘0’ to account for the CO2 absorbed by fast-growing bioenergy sources during their growth. The Scope 1 conversion factors presented in this listing contain values for N2O and CH4 emissions (which are not absorbed during growth)</t>
  </si>
  <si>
    <t>AKDN factor look up table. This tailored factor set is drawn from the relevant literature, GHG Protocol AR5 values and industry standard supply bottle/cyclinder sizes. These numbers are linked to the calculations in the data sheets. The KgCO2e factors convert the weight of gas as supplied in the bottles or cyclinders sizes identified. If an approproiate bottle size cannot be found on the list, use a bottle size on the list and adust the number of bottle reported.</t>
  </si>
  <si>
    <t xml:space="preserve">AKDN factor look up table. Factors for carbon emissions related to water supply are country and supply type specific. </t>
  </si>
  <si>
    <t>AKDN factoor look up table. Factors are simplified and drawn from the UK facttor set from DEFRA. Simplifications include: reducing reporting to CO2e alone; using only 'Average passenger' impacts for flights; Including additional carbon impacts from Radiative Forcing from aeroplane trails; Including only cars 'by size' (see notes on individual cells for explanations of car sizes); Including only 'unknown fuel' for cars as it is unlikely that the data on fuel used in non-owned vehicles will be consistently avaliable</t>
  </si>
  <si>
    <t>Factors for domestic flights and international flights are transferable to other countries. See notes on individual cells for more detail</t>
  </si>
  <si>
    <t>Carbon emissions factirs for passenger ferries are transferable to other countries</t>
  </si>
  <si>
    <t>There may be some variation between countries in the average carbon emissions per mile and km for trains, buses and taxis. The typical effciency of national vehicle fleets. However untill there are national factor avaliable in all countries where AKDN operates the UK factor set provides an acceptable proxy for calculating scope 3 emissions</t>
  </si>
  <si>
    <t>Fuel</t>
  </si>
  <si>
    <t>Helper column</t>
  </si>
  <si>
    <t>KgCO2e per unit</t>
  </si>
  <si>
    <t>kg CO2</t>
  </si>
  <si>
    <t>kg CH4</t>
  </si>
  <si>
    <t>kg N2O</t>
  </si>
  <si>
    <t>Activity</t>
  </si>
  <si>
    <t>Unit</t>
  </si>
  <si>
    <r>
      <t>kg CO</t>
    </r>
    <r>
      <rPr>
        <vertAlign val="subscript"/>
        <sz val="11"/>
        <color indexed="56"/>
        <rFont val="Calibri"/>
        <family val="2"/>
      </rPr>
      <t>2</t>
    </r>
    <r>
      <rPr>
        <sz val="11"/>
        <color indexed="56"/>
        <rFont val="Calibri"/>
        <family val="2"/>
      </rPr>
      <t>e</t>
    </r>
  </si>
  <si>
    <r>
      <t>kg CO</t>
    </r>
    <r>
      <rPr>
        <vertAlign val="subscript"/>
        <sz val="11"/>
        <color indexed="56"/>
        <rFont val="Calibri"/>
        <family val="2"/>
      </rPr>
      <t>2</t>
    </r>
  </si>
  <si>
    <r>
      <t>kg CH</t>
    </r>
    <r>
      <rPr>
        <vertAlign val="subscript"/>
        <sz val="11"/>
        <color indexed="56"/>
        <rFont val="Calibri"/>
        <family val="2"/>
      </rPr>
      <t>4</t>
    </r>
  </si>
  <si>
    <r>
      <t>kg N</t>
    </r>
    <r>
      <rPr>
        <vertAlign val="subscript"/>
        <sz val="11"/>
        <color indexed="56"/>
        <rFont val="Calibri"/>
        <family val="2"/>
      </rPr>
      <t>2</t>
    </r>
    <r>
      <rPr>
        <sz val="11"/>
        <color indexed="56"/>
        <rFont val="Calibri"/>
        <family val="2"/>
      </rPr>
      <t>O</t>
    </r>
  </si>
  <si>
    <r>
      <t>kg CO</t>
    </r>
    <r>
      <rPr>
        <vertAlign val="subscript"/>
        <sz val="11"/>
        <color indexed="56"/>
        <rFont val="Calibri"/>
        <family val="2"/>
      </rPr>
      <t>2</t>
    </r>
    <r>
      <rPr>
        <sz val="11"/>
        <color indexed="56"/>
        <rFont val="Calibri"/>
        <family val="2"/>
      </rPr>
      <t>e</t>
    </r>
    <r>
      <rPr>
        <sz val="11"/>
        <color rgb="FF002060"/>
        <rFont val="Calibri"/>
        <family val="2"/>
        <scheme val="minor"/>
      </rPr>
      <t>/Unit</t>
    </r>
  </si>
  <si>
    <t>Gas</t>
  </si>
  <si>
    <t>Cylinder/bottle size (litres)</t>
  </si>
  <si>
    <t>Gas weight (kg)</t>
  </si>
  <si>
    <t>KgCO2e/Kg</t>
  </si>
  <si>
    <t>Kg CO2e/unit</t>
  </si>
  <si>
    <t>With Radiative Forcing</t>
  </si>
  <si>
    <t>Unknown fuel type</t>
  </si>
  <si>
    <t>Type</t>
  </si>
  <si>
    <t xml:space="preserve">KgCO2e Per km </t>
  </si>
  <si>
    <t>CNG</t>
  </si>
  <si>
    <t>LPG</t>
  </si>
  <si>
    <t>Emission</t>
  </si>
  <si>
    <r>
      <t>kg CO</t>
    </r>
    <r>
      <rPr>
        <b/>
        <vertAlign val="subscript"/>
        <sz val="11"/>
        <rFont val="Calibri"/>
        <family val="2"/>
      </rPr>
      <t>2</t>
    </r>
    <r>
      <rPr>
        <b/>
        <sz val="11"/>
        <rFont val="Calibri"/>
        <family val="2"/>
      </rPr>
      <t>e</t>
    </r>
    <r>
      <rPr>
        <b/>
        <sz val="11"/>
        <rFont val="Calibri"/>
        <family val="2"/>
        <scheme val="minor"/>
      </rPr>
      <t>/kg</t>
    </r>
  </si>
  <si>
    <t>KgCO2e/unit</t>
  </si>
  <si>
    <t>Primary material production</t>
  </si>
  <si>
    <t>Re-used</t>
  </si>
  <si>
    <t>Open-loop source</t>
  </si>
  <si>
    <t>Closed-loop source</t>
  </si>
  <si>
    <t xml:space="preserve">KgCO2e unit </t>
  </si>
  <si>
    <t>Gaseous fuels</t>
  </si>
  <si>
    <t>Biofuel</t>
  </si>
  <si>
    <t>Haul</t>
  </si>
  <si>
    <t>Class</t>
  </si>
  <si>
    <t>Kyoto protocol - standard</t>
  </si>
  <si>
    <t>Waste type</t>
  </si>
  <si>
    <t>KgCO2e</t>
  </si>
  <si>
    <t>KgCO2</t>
  </si>
  <si>
    <t>GJ</t>
  </si>
  <si>
    <t>Gas only in 0.25 &amp; 0.1 litres</t>
  </si>
  <si>
    <t>Use passenger.km</t>
  </si>
  <si>
    <t>Flights</t>
  </si>
  <si>
    <t>Domestic, to/from UK</t>
  </si>
  <si>
    <t>Average passenger</t>
  </si>
  <si>
    <t>Ferry</t>
  </si>
  <si>
    <t>Foot passenger</t>
  </si>
  <si>
    <t>Cars (by size)</t>
  </si>
  <si>
    <t>Vans</t>
  </si>
  <si>
    <t>Class I (up to 1.305 tonnes)</t>
  </si>
  <si>
    <t>kWh (Net CV)</t>
  </si>
  <si>
    <t>Short-haul, to/from UK</t>
  </si>
  <si>
    <t>Car passenger</t>
  </si>
  <si>
    <t/>
  </si>
  <si>
    <t>kWh (Gross CV)</t>
  </si>
  <si>
    <t>Economy class</t>
  </si>
  <si>
    <t>Average (all passenger)</t>
  </si>
  <si>
    <t>Class II (1.305 to 1.74 tonnes)</t>
  </si>
  <si>
    <t>Business class</t>
  </si>
  <si>
    <t>Nitrous Oxide</t>
  </si>
  <si>
    <t>Country</t>
  </si>
  <si>
    <t>Long-haul, to/from UK</t>
  </si>
  <si>
    <t>Class III (1.74 to 3.5 tonnes)</t>
  </si>
  <si>
    <t>No factor available use kg</t>
  </si>
  <si>
    <t>Tanzania</t>
  </si>
  <si>
    <t>Select Diesel</t>
  </si>
  <si>
    <t>Error- use Diesel</t>
  </si>
  <si>
    <t>Tanker delivery</t>
  </si>
  <si>
    <t>Premium economy class</t>
  </si>
  <si>
    <t>Average (up to 3.5 tonnes)</t>
  </si>
  <si>
    <t>Average car</t>
  </si>
  <si>
    <t>LNG</t>
  </si>
  <si>
    <t>Gas not avaliable in 0.24 litres</t>
  </si>
  <si>
    <t>Local supply</t>
  </si>
  <si>
    <t>Biodiesel (from used cooking oil)</t>
  </si>
  <si>
    <t>Kenya</t>
  </si>
  <si>
    <t>First class</t>
  </si>
  <si>
    <t>Small</t>
  </si>
  <si>
    <t>Gas not avaliable in 0.125 litres</t>
  </si>
  <si>
    <t>International, to/from non-UK</t>
  </si>
  <si>
    <t>Medium</t>
  </si>
  <si>
    <t>0% Laden</t>
  </si>
  <si>
    <t>50% Laden</t>
  </si>
  <si>
    <t>100% Laden</t>
  </si>
  <si>
    <t>Average laden</t>
  </si>
  <si>
    <t>Plasterboard</t>
  </si>
  <si>
    <t>Biodiesel (from tallow)</t>
  </si>
  <si>
    <t>Pakistan</t>
  </si>
  <si>
    <t>Large</t>
  </si>
  <si>
    <t>HGV (all diesel)</t>
  </si>
  <si>
    <t>Rigid (&gt;3.5 - 7.5 tonnes)</t>
  </si>
  <si>
    <t>Glass</t>
  </si>
  <si>
    <t>Average rigid plastic</t>
  </si>
  <si>
    <t>India</t>
  </si>
  <si>
    <t>Rigid (&gt;7.5 tonnes-17 tonnes)</t>
  </si>
  <si>
    <t>Gas only in 0.25 litres</t>
  </si>
  <si>
    <t>cubic metres</t>
  </si>
  <si>
    <t>Biomass</t>
  </si>
  <si>
    <t>Taxis</t>
  </si>
  <si>
    <t>Regular taxi (car)</t>
  </si>
  <si>
    <t>Rigid (&gt;17 tonnes)</t>
  </si>
  <si>
    <t>Books</t>
  </si>
  <si>
    <t>kWh</t>
  </si>
  <si>
    <t>Tajikistan</t>
  </si>
  <si>
    <t>Black cab</t>
  </si>
  <si>
    <t>All rigids</t>
  </si>
  <si>
    <t>Average</t>
  </si>
  <si>
    <t>Clothing</t>
  </si>
  <si>
    <t>Natural gas (100% mineral blend)</t>
  </si>
  <si>
    <t>Food and drink</t>
  </si>
  <si>
    <t>Gas only in 0.24 litres</t>
  </si>
  <si>
    <t>Syria</t>
  </si>
  <si>
    <t>Articulated (&gt;3.5 - 33t)</t>
  </si>
  <si>
    <t>Grass/straw</t>
  </si>
  <si>
    <t>Bus</t>
  </si>
  <si>
    <t>Articulated (&gt;33t)</t>
  </si>
  <si>
    <t>Other petroleum gas</t>
  </si>
  <si>
    <t>Afghanistan</t>
  </si>
  <si>
    <t>Plastic</t>
  </si>
  <si>
    <t>Plastics: average plastics</t>
  </si>
  <si>
    <t>All artics</t>
  </si>
  <si>
    <t>Plastics: average plastic film</t>
  </si>
  <si>
    <t>Plastics: average plastic rigid</t>
  </si>
  <si>
    <t>Kyrgyzstan</t>
  </si>
  <si>
    <t>Rail</t>
  </si>
  <si>
    <t>All HGVs</t>
  </si>
  <si>
    <t>Plastics: HDPE (incl. forming)</t>
  </si>
  <si>
    <t>Plastics: LDPE and LLDPE (incl. forming)</t>
  </si>
  <si>
    <t>Landfill gas</t>
  </si>
  <si>
    <t>Gas only in 0.25 &amp; 0.125 litres</t>
  </si>
  <si>
    <t>Plastics: PET (incl. forming)</t>
  </si>
  <si>
    <t>Kyoto protocol- blends</t>
  </si>
  <si>
    <t>Plastics: PP (incl. forming)</t>
  </si>
  <si>
    <t>Plastics: PS (incl. forming)</t>
  </si>
  <si>
    <t>Plastics: PVC (incl. forming)</t>
  </si>
  <si>
    <t>Select Petrol</t>
  </si>
  <si>
    <t>HGVs refrigerated (all diesel)</t>
  </si>
  <si>
    <t>Liquid fuels</t>
  </si>
  <si>
    <t>Aviation spirit</t>
  </si>
  <si>
    <t>Use an N2O cylinder size</t>
  </si>
  <si>
    <t>Error- use petrol</t>
  </si>
  <si>
    <t>No factor, use Kg, or KWh</t>
  </si>
  <si>
    <t>Aviation turbine fuel</t>
  </si>
  <si>
    <t>Montreal protocol - standard</t>
  </si>
  <si>
    <t>Burning oil</t>
  </si>
  <si>
    <t>Use miles or km</t>
  </si>
  <si>
    <t>HGV refrigerated (all diesel)</t>
  </si>
  <si>
    <t>Diesel (average biofuel blend)</t>
  </si>
  <si>
    <t>Diesel (100% mineral diesel)</t>
  </si>
  <si>
    <t>Fuel oil</t>
  </si>
  <si>
    <t>No factor, use Kg or KWh</t>
  </si>
  <si>
    <t>Gas oil</t>
  </si>
  <si>
    <t>Other perfluorinated gases</t>
  </si>
  <si>
    <t>Provide details of fuel in notes</t>
  </si>
  <si>
    <t>Lubricants</t>
  </si>
  <si>
    <t>No factor available, use tonnes</t>
  </si>
  <si>
    <t>Fluorinated ethers</t>
  </si>
  <si>
    <t>Use km or passenger.km</t>
  </si>
  <si>
    <t>Petrol (average biofuel blend)</t>
  </si>
  <si>
    <t>With RF</t>
  </si>
  <si>
    <t>Without RF</t>
  </si>
  <si>
    <t>Freight flights</t>
  </si>
  <si>
    <t>Petrol (100% mineral petrol)</t>
  </si>
  <si>
    <t>Processed fuel oils - residual oil</t>
  </si>
  <si>
    <t>Other refrigerants</t>
  </si>
  <si>
    <t>Freight train</t>
  </si>
  <si>
    <t>Processed fuel oils - distillate oil</t>
  </si>
  <si>
    <t>Size</t>
  </si>
  <si>
    <t>Refinery miscellaneous</t>
  </si>
  <si>
    <t>Montreal protocol - blends</t>
  </si>
  <si>
    <t>Sea tanker</t>
  </si>
  <si>
    <t>Crude tanker</t>
  </si>
  <si>
    <t>200,000+ dwt</t>
  </si>
  <si>
    <t>120,000–199,999 dwt</t>
  </si>
  <si>
    <t>80,000–119,999 dwt</t>
  </si>
  <si>
    <t>60,000–79,999 dwt</t>
  </si>
  <si>
    <t>10,000–59,999 dwt</t>
  </si>
  <si>
    <t>0–9999 dwt</t>
  </si>
  <si>
    <t xml:space="preserve">Products tanker </t>
  </si>
  <si>
    <t>60,000+ dwt</t>
  </si>
  <si>
    <t>Marine gas oil</t>
  </si>
  <si>
    <t>20,000–59,999 dwt</t>
  </si>
  <si>
    <t>10,000–19,999 dwt</t>
  </si>
  <si>
    <t xml:space="preserve">No factor, use Kg, litres or m3 </t>
  </si>
  <si>
    <t>No factor, use Kg, litres or m4</t>
  </si>
  <si>
    <t>No factor, use Kg, litres or m5</t>
  </si>
  <si>
    <t>No factor, use Kg, litres or m6</t>
  </si>
  <si>
    <t>5000–9999 dwt</t>
  </si>
  <si>
    <t>0–4999 dwt</t>
  </si>
  <si>
    <t>Marine fuel oil</t>
  </si>
  <si>
    <t xml:space="preserve">Chemical tanker </t>
  </si>
  <si>
    <t>20,000+ dwt</t>
  </si>
  <si>
    <t>&lt; 1</t>
  </si>
  <si>
    <t>LNG tanker</t>
  </si>
  <si>
    <t>200,000+ m3</t>
  </si>
  <si>
    <t>Solid fuels</t>
  </si>
  <si>
    <t>Coal (industrial)</t>
  </si>
  <si>
    <t>0–199,999 m3</t>
  </si>
  <si>
    <r>
      <t>* There is no specific figure available, however it is known that the GWP factor is less than 1 kg CO</t>
    </r>
    <r>
      <rPr>
        <vertAlign val="subscript"/>
        <sz val="8"/>
        <color indexed="56"/>
        <rFont val="Calibri"/>
        <family val="2"/>
      </rPr>
      <t>2</t>
    </r>
    <r>
      <rPr>
        <sz val="8"/>
        <color indexed="56"/>
        <rFont val="Calibri"/>
        <family val="2"/>
      </rPr>
      <t>e</t>
    </r>
  </si>
  <si>
    <t>LPG Tanker</t>
  </si>
  <si>
    <t>50,000+ m3</t>
  </si>
  <si>
    <t>Heat Network average</t>
  </si>
  <si>
    <t>Heat network</t>
  </si>
  <si>
    <t>Coal (electricity generation)</t>
  </si>
  <si>
    <t>0–49,999 m3</t>
  </si>
  <si>
    <t>Electrcity</t>
  </si>
  <si>
    <t>UNFCC 2019 (Combined Margin)</t>
  </si>
  <si>
    <t>Albania</t>
  </si>
  <si>
    <t>Algeria</t>
  </si>
  <si>
    <t>Coal (domestic)</t>
  </si>
  <si>
    <t>American Samoa (U.S.)</t>
  </si>
  <si>
    <t>Andorra</t>
  </si>
  <si>
    <t>Angola</t>
  </si>
  <si>
    <t>Cargo ship</t>
  </si>
  <si>
    <t>Bulk carrier</t>
  </si>
  <si>
    <t>Anguilla (U.K.)</t>
  </si>
  <si>
    <t>100,000–199,999 dwt</t>
  </si>
  <si>
    <t>Antigua and Barbuda</t>
  </si>
  <si>
    <t>60,000–99,999 dwt</t>
  </si>
  <si>
    <t>Argentina</t>
  </si>
  <si>
    <t>35,000–59,999 dwt</t>
  </si>
  <si>
    <t>Armenia</t>
  </si>
  <si>
    <t>10,000–34,999 dwt</t>
  </si>
  <si>
    <t>Aruba</t>
  </si>
  <si>
    <t>Coking coal</t>
  </si>
  <si>
    <t>Australia</t>
  </si>
  <si>
    <t>Austria</t>
  </si>
  <si>
    <t>eea.europa 2019</t>
  </si>
  <si>
    <t>General cargo</t>
  </si>
  <si>
    <t>10,000+ dwt</t>
  </si>
  <si>
    <t>Azerbaijan</t>
  </si>
  <si>
    <t>Azores (Portugal)</t>
  </si>
  <si>
    <t>Bahamas</t>
  </si>
  <si>
    <t>10,000+ dwt 100+ TEU</t>
  </si>
  <si>
    <t>Bahrain</t>
  </si>
  <si>
    <t>5000–9999 dwt 100+ TEU</t>
  </si>
  <si>
    <t>Bangladesh</t>
  </si>
  <si>
    <t>0–4999 dwt 100+ TEU</t>
  </si>
  <si>
    <t>Barbados</t>
  </si>
  <si>
    <t>Belarus</t>
  </si>
  <si>
    <t>Container ship</t>
  </si>
  <si>
    <t>8000+ TEU</t>
  </si>
  <si>
    <t>Belgium</t>
  </si>
  <si>
    <t>5000–7999 TEU</t>
  </si>
  <si>
    <t>Belize</t>
  </si>
  <si>
    <t>3000–4999 TEU</t>
  </si>
  <si>
    <t>Benin</t>
  </si>
  <si>
    <t>2000–2999 TEU</t>
  </si>
  <si>
    <t>Bermuda (U.K.)</t>
  </si>
  <si>
    <t>Petroleum coke</t>
  </si>
  <si>
    <t>1000–1999 TEU</t>
  </si>
  <si>
    <t>Bhutan</t>
  </si>
  <si>
    <t>0–999 TEU</t>
  </si>
  <si>
    <t>Bolivia</t>
  </si>
  <si>
    <t>Bosnia and Herzegovina</t>
  </si>
  <si>
    <t>Coal (electricity generation - home produced coal only)</t>
  </si>
  <si>
    <t>Vehicle transport</t>
  </si>
  <si>
    <t>4000+ CEU</t>
  </si>
  <si>
    <t>Botswana</t>
  </si>
  <si>
    <t>0–3999 CEU</t>
  </si>
  <si>
    <t>Brazil</t>
  </si>
  <si>
    <t>British Virgin Islands (U.K.)</t>
  </si>
  <si>
    <t>2000+ LM</t>
  </si>
  <si>
    <t>Brunei</t>
  </si>
  <si>
    <t>0–1999 LM</t>
  </si>
  <si>
    <t>Bulgaria</t>
  </si>
  <si>
    <t>Heat and steam</t>
  </si>
  <si>
    <t>Onsite heat and steam</t>
  </si>
  <si>
    <t>Burkina Faso</t>
  </si>
  <si>
    <t>District heat and steam</t>
  </si>
  <si>
    <t>Burundi</t>
  </si>
  <si>
    <t>Refrigerated cargo</t>
  </si>
  <si>
    <t xml:space="preserve"> All dwt</t>
  </si>
  <si>
    <t>Cambodia</t>
  </si>
  <si>
    <t>Cameroon</t>
  </si>
  <si>
    <t>Canada</t>
  </si>
  <si>
    <t>Canary Islands (Spain)</t>
  </si>
  <si>
    <t>Cape Verde</t>
  </si>
  <si>
    <t>Cayman Islands</t>
  </si>
  <si>
    <t>Central African Republic</t>
  </si>
  <si>
    <t>Chad</t>
  </si>
  <si>
    <t>Channel Islands</t>
  </si>
  <si>
    <t>Chile</t>
  </si>
  <si>
    <t>China</t>
  </si>
  <si>
    <t>Colombia</t>
  </si>
  <si>
    <t>Comoros</t>
  </si>
  <si>
    <t>Democratic Republic of Congo</t>
  </si>
  <si>
    <t>Republic of Congo</t>
  </si>
  <si>
    <t>Cook Islands</t>
  </si>
  <si>
    <t>Costa Rica</t>
  </si>
  <si>
    <t>Côte d'Ivoire</t>
  </si>
  <si>
    <t>Croatia</t>
  </si>
  <si>
    <t>Cuba</t>
  </si>
  <si>
    <t>Curaçao (Netherlands)</t>
  </si>
  <si>
    <t>Cyprus</t>
  </si>
  <si>
    <t>Czech Republic</t>
  </si>
  <si>
    <t>Denmark</t>
  </si>
  <si>
    <t>Djibouti</t>
  </si>
  <si>
    <t>Dominica</t>
  </si>
  <si>
    <t>Dominican Republic</t>
  </si>
  <si>
    <t>Ecuador</t>
  </si>
  <si>
    <t>Egypt</t>
  </si>
  <si>
    <t>El Salvador</t>
  </si>
  <si>
    <t>Equatorial Guinea</t>
  </si>
  <si>
    <t>Eritrea</t>
  </si>
  <si>
    <t>Estonia</t>
  </si>
  <si>
    <t>Eswatini</t>
  </si>
  <si>
    <t>Ethiopia</t>
  </si>
  <si>
    <t>Falkland Islands (U.K.)</t>
  </si>
  <si>
    <t>Faroe Islands (Denmark)</t>
  </si>
  <si>
    <t>Fiji</t>
  </si>
  <si>
    <t>Finland</t>
  </si>
  <si>
    <t>France</t>
  </si>
  <si>
    <t>French Guiana</t>
  </si>
  <si>
    <t>French Polynesia</t>
  </si>
  <si>
    <t>Gabon</t>
  </si>
  <si>
    <t>Gambia</t>
  </si>
  <si>
    <t>Georgia</t>
  </si>
  <si>
    <t>Germany</t>
  </si>
  <si>
    <t>Ghana</t>
  </si>
  <si>
    <t>Gibraltar (U.K.)</t>
  </si>
  <si>
    <t>Greece</t>
  </si>
  <si>
    <t>Greenland</t>
  </si>
  <si>
    <t>Grenada</t>
  </si>
  <si>
    <t>Guadeloupe (France)</t>
  </si>
  <si>
    <t>Guam</t>
  </si>
  <si>
    <t>Guatemala</t>
  </si>
  <si>
    <t>Guinea</t>
  </si>
  <si>
    <t>Guinea-Bissau</t>
  </si>
  <si>
    <t>Guyana</t>
  </si>
  <si>
    <t>Haiti</t>
  </si>
  <si>
    <t>Honduras</t>
  </si>
  <si>
    <t>Hong Kong (China)</t>
  </si>
  <si>
    <t>Hungary</t>
  </si>
  <si>
    <t>Iceland</t>
  </si>
  <si>
    <t>Indonesia</t>
  </si>
  <si>
    <t>Iran</t>
  </si>
  <si>
    <t>Iraq</t>
  </si>
  <si>
    <t>Ireland</t>
  </si>
  <si>
    <t>Isle of Man</t>
  </si>
  <si>
    <t>Israel</t>
  </si>
  <si>
    <t>Italy</t>
  </si>
  <si>
    <t>Jamaica</t>
  </si>
  <si>
    <t>Japan</t>
  </si>
  <si>
    <t>Jordan</t>
  </si>
  <si>
    <t>Kazakhstan</t>
  </si>
  <si>
    <t>Kiribati</t>
  </si>
  <si>
    <t>Korea (North), Dem. People's Rep. of</t>
  </si>
  <si>
    <t>Korea (South), Republic of</t>
  </si>
  <si>
    <t>Kosovo</t>
  </si>
  <si>
    <t>Kuwait</t>
  </si>
  <si>
    <t>Laos</t>
  </si>
  <si>
    <t>Latvia</t>
  </si>
  <si>
    <t>Lebanon</t>
  </si>
  <si>
    <t>Lesotho</t>
  </si>
  <si>
    <t>Liberia</t>
  </si>
  <si>
    <t>Libya</t>
  </si>
  <si>
    <t>Liechtenstein</t>
  </si>
  <si>
    <t>Lithuania</t>
  </si>
  <si>
    <t>Luxembourg</t>
  </si>
  <si>
    <t>Macao (China)</t>
  </si>
  <si>
    <t>Macedonia, North</t>
  </si>
  <si>
    <t>Madagascar</t>
  </si>
  <si>
    <t>Madeira (Portugal)</t>
  </si>
  <si>
    <t>Malawi</t>
  </si>
  <si>
    <t>Malaysia</t>
  </si>
  <si>
    <t>Maldives</t>
  </si>
  <si>
    <t>Mali</t>
  </si>
  <si>
    <t>Malta</t>
  </si>
  <si>
    <t>Marshall Islands</t>
  </si>
  <si>
    <t>Martinique (France)</t>
  </si>
  <si>
    <t>Mauritania</t>
  </si>
  <si>
    <t>Mauritius</t>
  </si>
  <si>
    <t>Mayotte (France)</t>
  </si>
  <si>
    <t>Mexico</t>
  </si>
  <si>
    <t>Micronesia</t>
  </si>
  <si>
    <t>Moldova</t>
  </si>
  <si>
    <t>Monaco</t>
  </si>
  <si>
    <t>Mongolia</t>
  </si>
  <si>
    <t>Montenegro</t>
  </si>
  <si>
    <t>Montserrat</t>
  </si>
  <si>
    <t>Morocco</t>
  </si>
  <si>
    <t>Mozambique</t>
  </si>
  <si>
    <t>Myanmar</t>
  </si>
  <si>
    <t>Namibia</t>
  </si>
  <si>
    <t>Nauru</t>
  </si>
  <si>
    <t>Nepal</t>
  </si>
  <si>
    <t>Netherlands</t>
  </si>
  <si>
    <t>Netherlands Antilles</t>
  </si>
  <si>
    <t>New Caledonia (France)</t>
  </si>
  <si>
    <t>New Zealand</t>
  </si>
  <si>
    <t>Nicaragua</t>
  </si>
  <si>
    <t>Niger</t>
  </si>
  <si>
    <t>Nigeria</t>
  </si>
  <si>
    <t>Niue</t>
  </si>
  <si>
    <t>Northern Mariana Islands (U.S.)</t>
  </si>
  <si>
    <t>Norway</t>
  </si>
  <si>
    <t>Oman</t>
  </si>
  <si>
    <t>Palau</t>
  </si>
  <si>
    <t>Panama</t>
  </si>
  <si>
    <t>Papua New Guinea</t>
  </si>
  <si>
    <t>Paraguay</t>
  </si>
  <si>
    <t>Peru</t>
  </si>
  <si>
    <t>Philippines</t>
  </si>
  <si>
    <t>Poland</t>
  </si>
  <si>
    <t>Portugal</t>
  </si>
  <si>
    <t>Puerto Rico (U.S.)</t>
  </si>
  <si>
    <t>Qatar</t>
  </si>
  <si>
    <t>Reunion (France)</t>
  </si>
  <si>
    <t>Romania</t>
  </si>
  <si>
    <t>Russian Federation</t>
  </si>
  <si>
    <t>Rwanda</t>
  </si>
  <si>
    <t>Saint Helena (U.K.)</t>
  </si>
  <si>
    <t>Saint Kitts and Nevis</t>
  </si>
  <si>
    <t>Saint Lucia</t>
  </si>
  <si>
    <t>Saint Martin (France)</t>
  </si>
  <si>
    <t>Saint Pierre and Miquelon (France)</t>
  </si>
  <si>
    <t>Saint Vincent and Grenadines</t>
  </si>
  <si>
    <t>Samoa</t>
  </si>
  <si>
    <t>San Marino</t>
  </si>
  <si>
    <t>Sao Tomé &amp; Principe</t>
  </si>
  <si>
    <t>Saudi Arabia</t>
  </si>
  <si>
    <t>Senegal</t>
  </si>
  <si>
    <t>Serbia</t>
  </si>
  <si>
    <t>Seychelles</t>
  </si>
  <si>
    <t>Sierra Leone</t>
  </si>
  <si>
    <t>Singapore</t>
  </si>
  <si>
    <t>Sint Martin (Netherlands)</t>
  </si>
  <si>
    <t>Slovak Republic</t>
  </si>
  <si>
    <t>Slovenia</t>
  </si>
  <si>
    <t>Solomon Islands</t>
  </si>
  <si>
    <t>Somalia</t>
  </si>
  <si>
    <t>South Africa</t>
  </si>
  <si>
    <t>South Sudan</t>
  </si>
  <si>
    <t>Spain</t>
  </si>
  <si>
    <t>Sri Lanka</t>
  </si>
  <si>
    <t>Sudan</t>
  </si>
  <si>
    <t>Suriname</t>
  </si>
  <si>
    <t>Sweden</t>
  </si>
  <si>
    <t>Switzerland</t>
  </si>
  <si>
    <t>Syrian Arab Republic</t>
  </si>
  <si>
    <t>Taipei (Chinese)</t>
  </si>
  <si>
    <t>Thailand</t>
  </si>
  <si>
    <t>Timor-Leste</t>
  </si>
  <si>
    <t>Togo</t>
  </si>
  <si>
    <t>Tonga</t>
  </si>
  <si>
    <t>Trinidad and Tobago</t>
  </si>
  <si>
    <t>Tunisia</t>
  </si>
  <si>
    <t>Turkey</t>
  </si>
  <si>
    <t>Turkmenistan</t>
  </si>
  <si>
    <t>Turks and Caicos Islands (U.K.)</t>
  </si>
  <si>
    <t>Tuvalu</t>
  </si>
  <si>
    <t>Uganda</t>
  </si>
  <si>
    <t>Ukraine</t>
  </si>
  <si>
    <t>United Arab Emirates</t>
  </si>
  <si>
    <t>United Kingdom</t>
  </si>
  <si>
    <t>DEFRA UK</t>
  </si>
  <si>
    <t>United States</t>
  </si>
  <si>
    <t>Uruguay</t>
  </si>
  <si>
    <t>Uzbekistan</t>
  </si>
  <si>
    <t>Vanatu</t>
  </si>
  <si>
    <t>Venezuela</t>
  </si>
  <si>
    <t>Vietnam</t>
  </si>
  <si>
    <t>Virgin Islands (U.S.)</t>
  </si>
  <si>
    <t>West Bank and Gaza</t>
  </si>
  <si>
    <t>Yemen</t>
  </si>
  <si>
    <t>Zambia</t>
  </si>
  <si>
    <t>Zanzibar (Tanzania)</t>
  </si>
  <si>
    <t>Zimbabwe</t>
  </si>
  <si>
    <t>Europe</t>
  </si>
  <si>
    <t xml:space="preserve">Average of avaliable factors </t>
  </si>
  <si>
    <t>Asia</t>
  </si>
  <si>
    <t>Africa</t>
  </si>
  <si>
    <t>Middle East</t>
  </si>
  <si>
    <t>Latin America</t>
  </si>
  <si>
    <t>Lower-Middle Income Country</t>
  </si>
  <si>
    <t>Low Income Country</t>
  </si>
  <si>
    <t>Upper-Middle Income Country</t>
  </si>
  <si>
    <t>High Income Country</t>
  </si>
  <si>
    <t xml:space="preserve">Renewable </t>
  </si>
  <si>
    <t>Market based electricity factor</t>
  </si>
  <si>
    <t>No factor, use litres or gallons</t>
  </si>
  <si>
    <t>No factor, use KWh</t>
  </si>
  <si>
    <t>No factor, name fuel in notes</t>
  </si>
  <si>
    <t>Fuel properties</t>
  </si>
  <si>
    <t>UK Government GHG Conversion Factors for Company Reporting 2020</t>
  </si>
  <si>
    <t>The fuel properties can be used to determine the typical calorific values/densities of most common fuels.</t>
  </si>
  <si>
    <t xml:space="preserve">https://en.wikipedia.org/wiki/Fuel_oil </t>
  </si>
  <si>
    <t xml:space="preserve">https://en.wikipedia.org/wiki/Heating_oil </t>
  </si>
  <si>
    <t>Net CV</t>
  </si>
  <si>
    <t>Gross CV</t>
  </si>
  <si>
    <t>Density</t>
  </si>
  <si>
    <t>Density*</t>
  </si>
  <si>
    <t>GJ/tonne</t>
  </si>
  <si>
    <r>
      <t>kg/m</t>
    </r>
    <r>
      <rPr>
        <vertAlign val="superscript"/>
        <sz val="11"/>
        <color indexed="56"/>
        <rFont val="Calibri"/>
        <family val="2"/>
      </rPr>
      <t>3</t>
    </r>
  </si>
  <si>
    <t>litres/tonne</t>
  </si>
  <si>
    <t>kWh/kg</t>
  </si>
  <si>
    <t>kWh/litre</t>
  </si>
  <si>
    <t>Notes:</t>
  </si>
  <si>
    <t>Commonly Used Fossil Fuels</t>
  </si>
  <si>
    <t>Aviation Spirit</t>
  </si>
  <si>
    <t>Aviation Turbine Fuel</t>
  </si>
  <si>
    <t>Kerosene (also known as Burning Oil or 28-second oil)</t>
  </si>
  <si>
    <t>Coking Coal</t>
  </si>
  <si>
    <t>Diesel (5% biofuel blend)</t>
  </si>
  <si>
    <t>Fuel Oil (also known as Heavy Oil, Marine Oil or Furnace Oil)</t>
  </si>
  <si>
    <t>Gas Oil (also known as Red Diesel or 35-second oil)</t>
  </si>
  <si>
    <t>LPG (Butane/Propane)</t>
  </si>
  <si>
    <t>Natural Gas (Grid supplied methane)</t>
  </si>
  <si>
    <t>Natural Gas (100% mineral blend)</t>
  </si>
  <si>
    <t>Petrol (5% biofuel blend)</t>
  </si>
  <si>
    <r>
      <t>kg/m</t>
    </r>
    <r>
      <rPr>
        <b/>
        <vertAlign val="superscript"/>
        <sz val="11"/>
        <color indexed="56"/>
        <rFont val="Calibri"/>
        <family val="2"/>
      </rPr>
      <t>3</t>
    </r>
  </si>
  <si>
    <t>Other fuels</t>
  </si>
  <si>
    <t>Biodiesel (ME)</t>
  </si>
  <si>
    <t>Biodiesel (BtL or HVO)</t>
  </si>
  <si>
    <t>BioETBE</t>
  </si>
  <si>
    <t xml:space="preserve">Biomethane </t>
  </si>
  <si>
    <t>Grasses/Straw</t>
  </si>
  <si>
    <t>Landfill Gas</t>
  </si>
  <si>
    <t>Wood Chips</t>
  </si>
  <si>
    <t>Wood Logs</t>
  </si>
  <si>
    <t>Wood Pellets</t>
  </si>
  <si>
    <t>Gases</t>
  </si>
  <si>
    <r>
      <t>Methane (CH</t>
    </r>
    <r>
      <rPr>
        <vertAlign val="subscript"/>
        <sz val="11"/>
        <color indexed="56"/>
        <rFont val="Arial"/>
        <family val="2"/>
      </rPr>
      <t>4</t>
    </r>
    <r>
      <rPr>
        <sz val="11"/>
        <color indexed="56"/>
        <rFont val="Arial"/>
        <family val="2"/>
      </rPr>
      <t>)</t>
    </r>
  </si>
  <si>
    <r>
      <t>Carbon Dioxide (CO</t>
    </r>
    <r>
      <rPr>
        <vertAlign val="subscript"/>
        <sz val="11"/>
        <color indexed="56"/>
        <rFont val="Arial"/>
        <family val="2"/>
      </rPr>
      <t>2</t>
    </r>
    <r>
      <rPr>
        <sz val="11"/>
        <color indexed="56"/>
        <rFont val="Arial"/>
        <family val="2"/>
      </rPr>
      <t>)</t>
    </r>
  </si>
  <si>
    <t>* Please note that these units are referring to volume/mass, which is the inverse of density (known as Specific Volume).</t>
  </si>
  <si>
    <t>A variety of studies have produced different factors for anaesthetic gases. The table below give the referenced sources for the factors used. The data below also includes details of which gases are ozone depleting substances and gas properties, such as density.</t>
  </si>
  <si>
    <t>The medical gas suppliers’ published volumes of gas contained within each cylinder type have been converted to a mass using the universal gas equation at a temperature of 15C.</t>
  </si>
  <si>
    <t>Density (g/cm3)</t>
  </si>
  <si>
    <t>Relative ODP to CFC-11</t>
  </si>
  <si>
    <t>Relative GWP to CFC -12</t>
  </si>
  <si>
    <t>Relative GWP to CO2 (derived from ref no 4. Langbein et al 1999)</t>
  </si>
  <si>
    <t>From UK AoA</t>
  </si>
  <si>
    <t xml:space="preserve">from UK AoA calculator </t>
  </si>
  <si>
    <t>GHG Protocol AR5 (ref no. 1)</t>
  </si>
  <si>
    <t>From Vollmer et al 2015 (ref no. 2)</t>
  </si>
  <si>
    <t>Anaesthetic nitrous oxide</t>
  </si>
  <si>
    <t>Cylinder volume (litres of gas)</t>
  </si>
  <si>
    <t>Volume N20 (l)</t>
  </si>
  <si>
    <t>Weight N2O (Kg)</t>
  </si>
  <si>
    <t>Full Cylinder weight</t>
  </si>
  <si>
    <t>CFC 11</t>
  </si>
  <si>
    <t>From GHG protocol (AR5)</t>
  </si>
  <si>
    <t>CFC 12</t>
  </si>
  <si>
    <t>Halothane</t>
  </si>
  <si>
    <t>calculated from CFC12</t>
  </si>
  <si>
    <t>Isoflurane</t>
  </si>
  <si>
    <t>Sevoflurane</t>
  </si>
  <si>
    <t>Mobile Entonox Nitrous oxide</t>
  </si>
  <si>
    <t>Nitrous</t>
  </si>
  <si>
    <t>Entonox EA</t>
  </si>
  <si>
    <t>Metabolisation(7,8)</t>
  </si>
  <si>
    <t>Maternity Manifold N2O</t>
  </si>
  <si>
    <t>Air Liquide products</t>
  </si>
  <si>
    <t>Ref No.</t>
  </si>
  <si>
    <t>https://www.ncbi.nlm.nih.gov/pmc/articles/PMC3522493/#:~:text=All%20volatile%20anesthetics%20are%20halogenated,to%20the%20earth's%20ozone%20layer.</t>
  </si>
  <si>
    <t>https://bjanaesthesia.org/article/S0007-0912(17)39431-X/pdf</t>
  </si>
  <si>
    <t>https://www.ncbi.nlm.nih.gov/pmc/articles/PMC4173371/</t>
  </si>
  <si>
    <t>https://anaesthetists.org/Home/Resources-publications/Environment/Guide-to-green-anaesthesia/Anaesthetic-gases-calculator</t>
  </si>
  <si>
    <t>https://agupubs.onlinelibrary.wiley.com/doi/pdf/10.1002/2014GL062785</t>
  </si>
  <si>
    <t>https://www.ghgprotocol.org/sites/default/files/ghgp/Global-Warming-Potential-Values%20%28Feb%2016%202016%29_1.pdf</t>
  </si>
  <si>
    <t>https://www.airliquide.com/sites/airliquide.com/files/2019/10/22/medical_gas_cylinder_guide_oct_19.pdf</t>
  </si>
  <si>
    <t>https://www.frca.co.uk/article.aspx?articleid=100340</t>
  </si>
  <si>
    <t>https://www.bochealthcare.co.uk/en/images/cylinder_data_med309965_2011_tcm409-54065.pdf</t>
  </si>
  <si>
    <t>https://academic.oup.com/bjaed/article/14/3/106/340726</t>
  </si>
  <si>
    <t>https://www.aqua-calc.com/calculate/volume-to-weight/substance/nitrous-blank-oxide</t>
  </si>
  <si>
    <t>https://assets.publishing.service.gov.uk/government/uploads/system/uploads/attachment_data/file/850130/Env-reporting-guidance_inc_SECR_31March.pdf</t>
  </si>
  <si>
    <t>Pg 110</t>
  </si>
  <si>
    <t>Type of Equipment and their Estimated Annual Leakage</t>
  </si>
  <si>
    <t>Annual Leakage Rate</t>
  </si>
  <si>
    <t xml:space="preserve"> leakage over reporting period</t>
  </si>
  <si>
    <t>Waste stream</t>
  </si>
  <si>
    <t>Assumed % by weight plastic (assumes all textiles are man-made fibre)</t>
  </si>
  <si>
    <t>Assumed % by weight organic material</t>
  </si>
  <si>
    <t>KgCO2e per Kg waste Incinerated (plastic)</t>
  </si>
  <si>
    <t>KgCO2e per Kg waste buried (plastic)</t>
  </si>
  <si>
    <t>KgCO2e per Kg waste Incinerated (organic matter)</t>
  </si>
  <si>
    <t>KgCO2e per Kg waste buried (organic matter)</t>
  </si>
  <si>
    <t>CO2 factor from 2009 GHGP tool (4)</t>
  </si>
  <si>
    <t>N2O factor from 2009 GHGp tool(4)</t>
  </si>
  <si>
    <t>IPCC EFBD factor (KgCO2e/Kg wet waste) (5)</t>
  </si>
  <si>
    <t>Incinerated:On-site AKDN owned incinerator (1)</t>
  </si>
  <si>
    <t>Incinerated:Off-site AKDN owned incinerator (1)</t>
  </si>
  <si>
    <t>Incinerated:Non-AKDN incinerator (1)</t>
  </si>
  <si>
    <t>Buried (unmanaged)</t>
  </si>
  <si>
    <t>Recycled</t>
  </si>
  <si>
    <t>Landfill-Offsite waste company managed</t>
  </si>
  <si>
    <t>Scale validated with IPCC cross reference (3)</t>
  </si>
  <si>
    <t>Kg CO2e emissions per kg of combused plastics (1)</t>
  </si>
  <si>
    <t>Assumes mixed plastics and no energy from waste</t>
  </si>
  <si>
    <t>Kg CO2e emissions per kg of buried plastics (1)</t>
  </si>
  <si>
    <t>Kg CO2e emissions per kg combusted organic wastes</t>
  </si>
  <si>
    <t>Kg CO2e emissions per kg of buried organic waste</t>
  </si>
  <si>
    <t>References</t>
  </si>
  <si>
    <t>Link</t>
  </si>
  <si>
    <t>https://www.researchgate.net/profile/Ola_Eriksson/publication/230582969_Plastic_waste_as_a_fuel_-_CO2-neutral_or_not/links/09e41501a5931ed3fb000000/Plastic-waste-as-a-fuel-CO2-neutral-or-not.pdf</t>
  </si>
  <si>
    <t>Plastic waste as a fuel – CO2-neutral or not?Energy &amp; Environmental Science 2(9):907-914, Aug 2009</t>
  </si>
  <si>
    <t>http://www.wrap.org.uk/sites/files/wrap/The%20compostion%20of%20waste%20from%20three%20sectors%20in%20Scotland.pdf</t>
  </si>
  <si>
    <t>Table 54( below) The estimated proportion and annual weight of mixed waste by type within the Scottish human health activities division 2011</t>
  </si>
  <si>
    <t>https://www.ipcc-nggip.iges.or.jp/public/gp/bgp/5_3_Waste_Incineration.pdf</t>
  </si>
  <si>
    <t>1kg Municipal solid waste incinerated leads to 0.7-1.2kg CO2 emissions. 33-50% fossil (plastic sourced) ie factor of 0.231 to 0.6.</t>
  </si>
  <si>
    <t>https://ghgprotocol.org/sites/default/files/Waste%20Sector%20GHG%20Protocol_Version%205_October%202013_1_0.pdf</t>
  </si>
  <si>
    <t>https://ghgprotocol.org/sites/default/files/Waste%20Sector%20GHG%20Protocol_Calculation%20Tool_Version%205_October%202013_1_0.xls</t>
  </si>
  <si>
    <t>https://www.ipcc-nggip.iges.or.jp/EFDB/downloads.php</t>
  </si>
  <si>
    <t xml:space="preserve">Landfill  factor from 2013 peer reviewed literature. Assumes managed landfill sites have gas capture (which may be optomistic).  If this is not the case the factor is 10x higher for landfill.  Unmanged informal sites are all assumed not to have gas capture. </t>
  </si>
  <si>
    <t xml:space="preserve">Material Type </t>
  </si>
  <si>
    <t xml:space="preserve">Percentage by weight </t>
  </si>
  <si>
    <t xml:space="preserve">Paper </t>
  </si>
  <si>
    <t xml:space="preserve">Plastic film </t>
  </si>
  <si>
    <t xml:space="preserve">Food waste </t>
  </si>
  <si>
    <t xml:space="preserve">Dense plastic </t>
  </si>
  <si>
    <t xml:space="preserve">Card </t>
  </si>
  <si>
    <t xml:space="preserve">Textiles </t>
  </si>
  <si>
    <t xml:space="preserve">Miscellaneous non-combustible </t>
  </si>
  <si>
    <t xml:space="preserve">Miscellaneous combustible </t>
  </si>
  <si>
    <t xml:space="preserve">Ferrous metal </t>
  </si>
  <si>
    <t xml:space="preserve">Glass </t>
  </si>
  <si>
    <t xml:space="preserve">Non-ferrous metal </t>
  </si>
  <si>
    <t xml:space="preserve">Clinical waste </t>
  </si>
  <si>
    <t xml:space="preserve">Fines </t>
  </si>
  <si>
    <t xml:space="preserve">Sanitary products, disposable nappies </t>
  </si>
  <si>
    <t xml:space="preserve">Green waste </t>
  </si>
  <si>
    <t xml:space="preserve">Liquids (excluding drinks) </t>
  </si>
  <si>
    <t xml:space="preserve">Furniture </t>
  </si>
  <si>
    <t xml:space="preserve">WEEE </t>
  </si>
  <si>
    <t xml:space="preserve">Hazardous </t>
  </si>
  <si>
    <t>Total</t>
  </si>
  <si>
    <t>https://www.ncbi.nlm.nih.gov/pmc/articles/PMC5492461/</t>
  </si>
  <si>
    <t>Average propellant content per actuation</t>
  </si>
  <si>
    <t>Weight per actuation (g)</t>
  </si>
  <si>
    <t>Lower limit</t>
  </si>
  <si>
    <t>Upper limit</t>
  </si>
  <si>
    <t>Please note: the estimation of propellant weight per actuation does not represent the actual weight of propellant released with each puff - some propellant may leak or be left in the inhaler after all doses are used. A weight per actuation is simply used so that the propellant content can be generalised to MDIs containing different numbers of doses.</t>
  </si>
  <si>
    <t>Inhaler Name</t>
  </si>
  <si>
    <t>Delivery type</t>
  </si>
  <si>
    <t>Propellant</t>
  </si>
  <si>
    <t>Generic Name</t>
  </si>
  <si>
    <t>Actuations per Inhaler</t>
  </si>
  <si>
    <t>Typical Actuations per Day</t>
  </si>
  <si>
    <t>Days use per Inhaler</t>
  </si>
  <si>
    <t>Estimated Propellant weight per inhaler (g)</t>
  </si>
  <si>
    <t>Estimated propellant weight per actuation</t>
  </si>
  <si>
    <t xml:space="preserve"> Kg CO2e per inhaler</t>
  </si>
  <si>
    <t xml:space="preserve">Coding </t>
  </si>
  <si>
    <t>Company</t>
  </si>
  <si>
    <t>Ventolin</t>
  </si>
  <si>
    <t xml:space="preserve">Dry Powder Inhaler </t>
  </si>
  <si>
    <t>DPI</t>
  </si>
  <si>
    <t>None</t>
  </si>
  <si>
    <t>Salamol</t>
  </si>
  <si>
    <t>Propellant Inhaler (Metered Dose Inhaler)</t>
  </si>
  <si>
    <t>MDI</t>
  </si>
  <si>
    <t>HFA134a</t>
  </si>
  <si>
    <t>Other SABA</t>
  </si>
  <si>
    <t>Non-Salmutamol Propellant Inhaler (Metered Dose Inhaler)</t>
  </si>
  <si>
    <t>Unknown Non SABA</t>
  </si>
  <si>
    <t>LABA</t>
  </si>
  <si>
    <t>Salbutamol Propellant Inhaler (Metered Dose Inhaler)</t>
  </si>
  <si>
    <t>Salbutamol</t>
  </si>
  <si>
    <t>ICS</t>
  </si>
  <si>
    <t>Soft Mist Inhaler</t>
  </si>
  <si>
    <t>SMI</t>
  </si>
  <si>
    <t>ICS/LABA</t>
  </si>
  <si>
    <t xml:space="preserve">Flutiform, Propellant Inhaler </t>
  </si>
  <si>
    <t>HFA227a</t>
  </si>
  <si>
    <t>Fluticasone Propionate/Formoterol Fumarate</t>
  </si>
  <si>
    <t>Other ICS/LABA (Flutiform/Sybmicort)</t>
  </si>
  <si>
    <t>NAPP</t>
  </si>
  <si>
    <t>Mueller-Walz &amp; Fueg, 2014 (patent) Reports indicative amount of HFA propellant in an ICS/LABA inhaler using HFA227ea as 11g (+/-0.5)</t>
  </si>
  <si>
    <t xml:space="preserve">Symbicort, Propellant Inhaler </t>
  </si>
  <si>
    <t>Budesonide/Formoterol Fumarate</t>
  </si>
  <si>
    <t>Astra Zeneka</t>
  </si>
  <si>
    <t>ICS/LABA/LAMA</t>
  </si>
  <si>
    <t>Ventolin Evohaler Salbutamol Propellant Inhaler 100 micrograms</t>
  </si>
  <si>
    <t>salbutamol 100 micrograms/puff</t>
  </si>
  <si>
    <t>GlaxoSmithKline</t>
  </si>
  <si>
    <t>Cradle to grave calculation performed and certified by the Carbon Trust CERT_12868</t>
  </si>
  <si>
    <t xml:space="preserve">Salbo HFA,  Salbutamol Propellant Inhaler </t>
  </si>
  <si>
    <t>Salmeterol</t>
  </si>
  <si>
    <t>Getz</t>
  </si>
  <si>
    <t>Estimate as Salbo device designed on the same template as Ventolin</t>
  </si>
  <si>
    <t>Unknown SABA</t>
  </si>
  <si>
    <t>Clenil Modulite 100 micrograms</t>
  </si>
  <si>
    <t>beclometasone dipropionate 100 micrograms/puff</t>
  </si>
  <si>
    <t>Chiesi Ltd</t>
  </si>
  <si>
    <t>Chiesi have performed calculation of the carbon footprint of our products through the whole lifecycle, using a certified system based on both the ISO 14 067–2018 standard and guideline ‘Greenhouse Gas Accounting Sector Guidance for Pharmaceutical Products and Medical Devices’ released for the pharmaceutical sector by NHS in UK. Please see attached Panigone S et al clinical paper.</t>
  </si>
  <si>
    <t>Clenil Modulite 200 micrograms</t>
  </si>
  <si>
    <t>beclometasone dipropionate 200 micrograms/puff</t>
  </si>
  <si>
    <t>Clenil Modulite 250 micrograms</t>
  </si>
  <si>
    <t>beclometasone dipropionate 250 micrograms/puff</t>
  </si>
  <si>
    <t xml:space="preserve">Please note: generic salbutamol is currently attributed as other SABA. There is evidence emerging that with 'brand equivalisation' on price with generics drugs a proportion of generically prescribed SABA will actually be higher carbon Ventolin. </t>
  </si>
  <si>
    <t>Clenil Modulite 50 micrograms</t>
  </si>
  <si>
    <t>beclometasone dipropionate 50 micrograms/puff</t>
  </si>
  <si>
    <t>The reported data are certified by Certiquality (certificate CFPS23/18) in alignment with ISO 14067:2018 and the guideline “Greenhouse Gas Accounting Sector Guidance for Pharmaceutical Products and Medical Devices” released for the pharmaceutical sector by NHS in UK. The methodology of the analysis has been validated by Carbon Trust through a peer-review process.</t>
  </si>
  <si>
    <t>Propellants make up 96% of the carbon footprint of Metered Dose Inhalers</t>
  </si>
  <si>
    <t xml:space="preserve">https://pdfs.semanticscholar.org/2982/99c8517465fad7d50883fb80f273d16b8e4b.pdf </t>
  </si>
  <si>
    <t>Flixotide Evohaler 125 microgramss</t>
  </si>
  <si>
    <t>fluticasone propionate 125 micrograms/puff</t>
  </si>
  <si>
    <t>NICE Shared Decision Aid Published to help patients choose lower inpact inhalers</t>
  </si>
  <si>
    <t>https://www.nice.org.uk/guidance/ng80/resources/inhalers-for-asthma-patient-decision-aid-pdf-6727144573</t>
  </si>
  <si>
    <t>Flixotide Evohaler 250 micrograms</t>
  </si>
  <si>
    <t>fluticasone propionate 250 micrograms/puff</t>
  </si>
  <si>
    <t>Flixotide Evohaler 50 micrograms</t>
  </si>
  <si>
    <t>fluticasone propionate 50 micrograms/puff</t>
  </si>
  <si>
    <t>Fostair 100/6 micrograms</t>
  </si>
  <si>
    <t>formoterol fumarate dihydrate 6 micrograms and beclometasone dipropionate 100 micrograms/puff</t>
  </si>
  <si>
    <t>Global warming potential of propellants</t>
  </si>
  <si>
    <t>CO2equivalent (grams CO2 impact per gram of propellant)</t>
  </si>
  <si>
    <t>Fostair 200/6 micrograms</t>
  </si>
  <si>
    <t>formoterol fumarate dihydrate 6 micrograms and beclometasone dipropionate 200 micrograms/puff</t>
  </si>
  <si>
    <t>Kelhale 100 micrograms</t>
  </si>
  <si>
    <t>Cipla EU Ltd</t>
  </si>
  <si>
    <t xml:space="preserve">In line with Scope 3 emissions calculations method for use of sold porducts by PSCI. The method is: [Propellant used by weight in one product (R134a) in kg X global warming potential for R134 per kg (1300) / number of metered dose or actuations per product ] x 1000 = gram CO2e </t>
  </si>
  <si>
    <t>Propellant weight remaining in devices after use estimated @39% of the weight released in use. This is the average of all other devices</t>
  </si>
  <si>
    <t>Kelhale 50 micrograms</t>
  </si>
  <si>
    <t>HFA152a</t>
  </si>
  <si>
    <t>Sereflo 25/125 micrograms</t>
  </si>
  <si>
    <t>salmeterol 25 micrograms and fluticasone propionate 125 micrograms/puff</t>
  </si>
  <si>
    <t>Seretide Evohaler 25/125 micrograms</t>
  </si>
  <si>
    <t>Seretide Evohaler 25/250 micrograms</t>
  </si>
  <si>
    <t>salmeterol 25 micrograms and fluticasone propionate 250 micrograms/puff</t>
  </si>
  <si>
    <t>Seretide Evohaler 25/50 micrograms</t>
  </si>
  <si>
    <t>salmeterol 25 micrograms and fluticasone propionate 50 micrograms/puff</t>
  </si>
  <si>
    <t>Serevent Evohaler 25 micrograms</t>
  </si>
  <si>
    <t>salmeterol (as xinafoate) 25 micrograms/puff</t>
  </si>
  <si>
    <t>Trimbow 87 micrograms/ 5 micrograms/ 9 micrograms pressurised inhalation, solution</t>
  </si>
  <si>
    <t>beclometasone 87 micrograms/ formoterol 5 micrograms/ glycopyrronium 9 micrograms/puff</t>
  </si>
  <si>
    <t>Region</t>
  </si>
  <si>
    <t>Region code</t>
  </si>
  <si>
    <t>Emissions intensity (KgCO2e/$)</t>
  </si>
  <si>
    <t>Count (no. with academic references for emissions intensity</t>
  </si>
  <si>
    <t>International comparison of health care carbon footprints, Peter-Paul Pichler</t>
  </si>
  <si>
    <t>The environmental footprint of health care: a global assessment, Prof Manfred Lenzen, PhD</t>
  </si>
  <si>
    <t>HEALTH CARE’S CLIMATE FOOTPRINT HOW THE HEALTH SECTOR CONTRIBUTES TO THE GLOBAL CLIMATE CRISIS AND OPPORTUNITIES FOR ACTION</t>
  </si>
  <si>
    <t>Africa_ average</t>
  </si>
  <si>
    <t>AFR</t>
  </si>
  <si>
    <t>Very Low</t>
  </si>
  <si>
    <t>https://iopscience.iop.org/article/10.1088/1748-9326/ab19e1</t>
  </si>
  <si>
    <t>https://www.thelancet.com/journals/lanplh/article/PIIS2542-5196(20)30121-2/fulltext</t>
  </si>
  <si>
    <t>https://www.arup.com/perspectives/publications/research/section/healthcares-climate-footprint</t>
  </si>
  <si>
    <t>Americas_ average</t>
  </si>
  <si>
    <t>AMR</t>
  </si>
  <si>
    <t>https://www.thelancet.com/cms/10.1016/S2542-5196(20)30121-2/attachment/9980b620-00d2-416c-ac65-f6de23729298/mmc1.pdf</t>
  </si>
  <si>
    <t>SE Asia_average</t>
  </si>
  <si>
    <t>SEAR</t>
  </si>
  <si>
    <t>Europe_ average</t>
  </si>
  <si>
    <t>EUR</t>
  </si>
  <si>
    <t>EU region_average (inc UK)</t>
  </si>
  <si>
    <t>EU</t>
  </si>
  <si>
    <t>West Pacific_average</t>
  </si>
  <si>
    <t>WPR</t>
  </si>
  <si>
    <t>East Mediterranean_average</t>
  </si>
  <si>
    <t>EMR</t>
  </si>
  <si>
    <t>OECD_average</t>
  </si>
  <si>
    <t>OECD</t>
  </si>
  <si>
    <t>EU OECD members_average</t>
  </si>
  <si>
    <t>EU/OECD</t>
  </si>
  <si>
    <t>Low Income_ average</t>
  </si>
  <si>
    <t>None avaliable</t>
  </si>
  <si>
    <t>Low-Mid</t>
  </si>
  <si>
    <t>Up-Mid Income_average</t>
  </si>
  <si>
    <t>Up-Mid</t>
  </si>
  <si>
    <t>High Income_average</t>
  </si>
  <si>
    <t>Hi</t>
  </si>
  <si>
    <t>WHO</t>
  </si>
  <si>
    <t>Lancet 2020</t>
  </si>
  <si>
    <t>Pichler&amp;al</t>
  </si>
  <si>
    <t>HCWH/Arup</t>
  </si>
  <si>
    <t>Calculated</t>
  </si>
  <si>
    <t xml:space="preserve">Calculated </t>
  </si>
  <si>
    <t>Reference points</t>
  </si>
  <si>
    <t>Countries</t>
  </si>
  <si>
    <t>WHO Region name</t>
  </si>
  <si>
    <t>Income</t>
  </si>
  <si>
    <t>2015 health expenditure by revenues of health care financing schemes (millions$)</t>
  </si>
  <si>
    <t>2015 Health Expenditure (CHE) per Capita in US$</t>
  </si>
  <si>
    <t>2015 Health Expenditure (CHE) as % Gross Domestic Product (GDP)</t>
  </si>
  <si>
    <t>Population (in thousands)</t>
  </si>
  <si>
    <t>Extended region lookup. (EU/EUR, OECD/Non-OECD)</t>
  </si>
  <si>
    <t>Health care GHG footprint 2015 (Mt CO2-e) MRIO calcualtion based on UN $ Data on health spend</t>
  </si>
  <si>
    <t>Healthcare spend $bn</t>
  </si>
  <si>
    <t>Calcualted multiplier</t>
  </si>
  <si>
    <t>India (used in preference to Lancet figure following conversations with authors)</t>
  </si>
  <si>
    <t>Russia (used in preference to Lancet figure following conversations with authors)</t>
  </si>
  <si>
    <t>Carbon intensity of healthcare kg/$</t>
  </si>
  <si>
    <t>Extrapolated carbon intensity of healthcare based on region kg/$</t>
  </si>
  <si>
    <t>Extrapolated GHG emissions from health (Mt CO2e)</t>
  </si>
  <si>
    <t xml:space="preserve">Bolivia Plurinational States of </t>
  </si>
  <si>
    <t>Brunei Darussalam</t>
  </si>
  <si>
    <t>Cabo Verde Republic of</t>
  </si>
  <si>
    <t>Congo</t>
  </si>
  <si>
    <t>Curacao</t>
  </si>
  <si>
    <t>Democratic People's Republic of Korea</t>
  </si>
  <si>
    <t>Democratic Republic of the Congo</t>
  </si>
  <si>
    <t>Lao People's Democratic Republic</t>
  </si>
  <si>
    <t>Micronesia (Federated States of)</t>
  </si>
  <si>
    <t>Republic of Korea</t>
  </si>
  <si>
    <t>Republic of Moldova</t>
  </si>
  <si>
    <t>Saint Vincent and the Grenadines</t>
  </si>
  <si>
    <t>Sao Tome and Principe</t>
  </si>
  <si>
    <t>Slovakia</t>
  </si>
  <si>
    <t>Taiwan</t>
  </si>
  <si>
    <t>The Republic of North Macedonia</t>
  </si>
  <si>
    <t>United Republic of Tanzania</t>
  </si>
  <si>
    <t>United States of America</t>
  </si>
  <si>
    <t>Vanuatu</t>
  </si>
  <si>
    <t>Venezuela (Bolivarian Republic of)</t>
  </si>
  <si>
    <t>Viet Nam</t>
  </si>
  <si>
    <t>Unit Conversions</t>
  </si>
  <si>
    <t>The conversion values should be used to change units (such as those for energy, mass and volume) into alternative units. This is particularly useful where an organisation is collecting data in units of measure that do not have conversion factors that can be directly used to determine a carbon emission total.</t>
  </si>
  <si>
    <t>Using the abbreviation table</t>
  </si>
  <si>
    <t>The abbreviation table simply demonstrates common abbreviations that may be found within the carbon reporting arena and their long-hand form. This table is entirely for reference.</t>
  </si>
  <si>
    <t>Using the conversions table</t>
  </si>
  <si>
    <t>To convert from the units of measure in the columns on the left hand side of the table to the units of measure in the column headers in the same tables, simply multiple by the factor displayed where the two units meet on the table.</t>
  </si>
  <si>
    <t xml:space="preserve"> For example, to convert from kWh to GJ, multiply the kWh value by 0.036.</t>
  </si>
  <si>
    <t>Symbol</t>
  </si>
  <si>
    <t>Standard form</t>
  </si>
  <si>
    <t>Abbreviation</t>
  </si>
  <si>
    <t>Kilo</t>
  </si>
  <si>
    <t>k</t>
  </si>
  <si>
    <r>
      <t xml:space="preserve">10 </t>
    </r>
    <r>
      <rPr>
        <vertAlign val="superscript"/>
        <sz val="11"/>
        <color indexed="56"/>
        <rFont val="Calibri"/>
        <family val="2"/>
      </rPr>
      <t>3</t>
    </r>
  </si>
  <si>
    <t>Mega</t>
  </si>
  <si>
    <t>M</t>
  </si>
  <si>
    <r>
      <t xml:space="preserve">10 </t>
    </r>
    <r>
      <rPr>
        <vertAlign val="superscript"/>
        <sz val="11"/>
        <color indexed="56"/>
        <rFont val="Calibri"/>
        <family val="2"/>
      </rPr>
      <t>6</t>
    </r>
  </si>
  <si>
    <t>Giga</t>
  </si>
  <si>
    <t>G</t>
  </si>
  <si>
    <r>
      <t xml:space="preserve">10 </t>
    </r>
    <r>
      <rPr>
        <vertAlign val="superscript"/>
        <sz val="11"/>
        <color indexed="56"/>
        <rFont val="Calibri"/>
        <family val="2"/>
      </rPr>
      <t>9</t>
    </r>
  </si>
  <si>
    <t>Tera</t>
  </si>
  <si>
    <t>T</t>
  </si>
  <si>
    <r>
      <t xml:space="preserve">10 </t>
    </r>
    <r>
      <rPr>
        <vertAlign val="superscript"/>
        <sz val="11"/>
        <color indexed="56"/>
        <rFont val="Calibri"/>
        <family val="2"/>
      </rPr>
      <t>12</t>
    </r>
  </si>
  <si>
    <t>Peta</t>
  </si>
  <si>
    <t>P</t>
  </si>
  <si>
    <r>
      <t xml:space="preserve">10 </t>
    </r>
    <r>
      <rPr>
        <vertAlign val="superscript"/>
        <sz val="11"/>
        <color indexed="56"/>
        <rFont val="Calibri"/>
        <family val="2"/>
      </rPr>
      <t>15</t>
    </r>
  </si>
  <si>
    <t>therm</t>
  </si>
  <si>
    <t>toe</t>
  </si>
  <si>
    <t>kcal</t>
  </si>
  <si>
    <t>Gigajoule, GJ</t>
  </si>
  <si>
    <t>Kilowatt-hour, kWh</t>
  </si>
  <si>
    <t>Therm</t>
  </si>
  <si>
    <t>Tonne oil equivalent, toe</t>
  </si>
  <si>
    <t>Kilocalorie, kcal</t>
  </si>
  <si>
    <t>L</t>
  </si>
  <si>
    <r>
      <t>m</t>
    </r>
    <r>
      <rPr>
        <b/>
        <vertAlign val="superscript"/>
        <sz val="11"/>
        <color indexed="56"/>
        <rFont val="Calibri"/>
        <family val="2"/>
      </rPr>
      <t>3</t>
    </r>
  </si>
  <si>
    <t>cu ft</t>
  </si>
  <si>
    <t>Imp. gallon</t>
  </si>
  <si>
    <t>US gallon</t>
  </si>
  <si>
    <t>Bbl (US,P)</t>
  </si>
  <si>
    <t>Volume</t>
  </si>
  <si>
    <t>Litres, L</t>
  </si>
  <si>
    <r>
      <t>Cubic metres, m</t>
    </r>
    <r>
      <rPr>
        <b/>
        <vertAlign val="superscript"/>
        <sz val="11"/>
        <color indexed="56"/>
        <rFont val="Calibri"/>
        <family val="2"/>
      </rPr>
      <t>3</t>
    </r>
  </si>
  <si>
    <t>Cubic feet, cu ft</t>
  </si>
  <si>
    <t>Imperial gallon</t>
  </si>
  <si>
    <t>Barrel (US, petroleum), bbl</t>
  </si>
  <si>
    <t>tonne</t>
  </si>
  <si>
    <t>ton (UK)</t>
  </si>
  <si>
    <t>ton (US)</t>
  </si>
  <si>
    <t>lb</t>
  </si>
  <si>
    <t>Weight/mass</t>
  </si>
  <si>
    <t>Kilogram, kg</t>
  </si>
  <si>
    <t>tonne, t (metric ton)</t>
  </si>
  <si>
    <t>ton (UK, long ton)</t>
  </si>
  <si>
    <t>ton (US, short ton)</t>
  </si>
  <si>
    <t>Pound, lb</t>
  </si>
  <si>
    <t>m</t>
  </si>
  <si>
    <t>ft</t>
  </si>
  <si>
    <t>mi</t>
  </si>
  <si>
    <t>nmi</t>
  </si>
  <si>
    <t>Length / distance</t>
  </si>
  <si>
    <t>Metre, m</t>
  </si>
  <si>
    <t>Feet, ft</t>
  </si>
  <si>
    <t>Miles, mi</t>
  </si>
  <si>
    <t>Kilometres, km</t>
  </si>
  <si>
    <t>Nautical miles, nmi or NM</t>
  </si>
  <si>
    <t>in</t>
  </si>
  <si>
    <t>cm</t>
  </si>
  <si>
    <t>yd</t>
  </si>
  <si>
    <t>Inch, in</t>
  </si>
  <si>
    <t>Centimetres, cm</t>
  </si>
  <si>
    <t>Yard, yd</t>
  </si>
  <si>
    <t>Reference data used or useful sources</t>
  </si>
  <si>
    <t>URL</t>
  </si>
  <si>
    <t>Emissions factors (ex medicines)</t>
  </si>
  <si>
    <t>https://www.gov.uk/government/publications/greenhouse-gas-reporting-conversion-factors-2020</t>
  </si>
  <si>
    <t>Electricty factors by country</t>
  </si>
  <si>
    <t>IFI_Dataset_of_Default_Grid_Factors_27.06.19_for Publication (unfccc.int)</t>
  </si>
  <si>
    <t>Greenhouse gas emission intensity of electricity generation by country — European Environment Agency (europa.eu)</t>
  </si>
  <si>
    <t>Procurement factors UK</t>
  </si>
  <si>
    <t>https://www.prescqipp.info/media/6082/attachment-1-inhaler-carbon-footprint-data-213.xlsx</t>
  </si>
  <si>
    <t>https://www.prescqipp.info/our-resources/bulletins/bulletin-295-inhaler-carbon-footprint/</t>
  </si>
  <si>
    <t>Procurement Quickstart</t>
  </si>
  <si>
    <t>Supplier emissions intensities</t>
  </si>
  <si>
    <t xml:space="preserve">https://www.gsk.com/media/6662/annual-report-2020.pdf   </t>
  </si>
  <si>
    <t>https://www.gsk.com/media/5906/gsk-value-chain-carbon-footprint-2021.pdf</t>
  </si>
  <si>
    <t xml:space="preserve">https://dam.abbott.com/en-us/documents/pdfs/abbott-citizenship/2017-Global-Metrics-Report.pdf. </t>
  </si>
  <si>
    <t>https://www8.hp.com/h20195/v2/GetPDF.aspx/c06601778.pdf</t>
  </si>
  <si>
    <t xml:space="preserve"> https://www.konicaminolta.com/shared/changeable/investors/include/ir_library/ar/ar2020/pdf/konica_minolta_ar2020_e.pdf</t>
  </si>
  <si>
    <t>https://www.apple.com/environment/pdf/Apple_Environmental_Progress_Report_2021.pdf</t>
  </si>
  <si>
    <t xml:space="preserve">https://www.roche.com/dam/jcr:4c76f641-c532-4b67-98c4-871f909ebd43/en/ar20e.pdf  </t>
  </si>
  <si>
    <t>https://www.roche.com/dam/jcr:2261c446-d303-4055-8ff2-de458001a633/en/Scope-3-Greenhouse-Gas-Emissions.pdf</t>
  </si>
  <si>
    <t>https://assets.unilever.com/files/92ui5egz/production/e665693f2bd2efbbde5658baf84043df7937cfd7.pdf/annual-report-and-accounts-2020.pdf</t>
  </si>
  <si>
    <t>https://download.schneider-electric.com/files?p_Doc_Ref=Carbon_Pledge_EN</t>
  </si>
  <si>
    <t>https://www.cummins.com/sites/default/files/2021-06/2020-21_cummins_sustainability_report.pdf</t>
  </si>
  <si>
    <t>https://www.glenmarkpharma.com/sites/default/files/Glenmark-Sustainability-Report-FY-2019-20.pdf</t>
  </si>
  <si>
    <t>Useful links to tools and explanatory material embedded in doc</t>
  </si>
  <si>
    <t>https://documents1.worldbank.org/curated/en/141851468168853188/pdf/WPS6471.pdf</t>
  </si>
  <si>
    <t>https://www.bjanaesthesia.org.uk/article/S0007-0912(19)30496-9/fulltext</t>
  </si>
  <si>
    <t>https://www.nature.com/articles/npre.2009.3407.1</t>
  </si>
  <si>
    <t>https://greeninhaler.org/</t>
  </si>
  <si>
    <t>Author</t>
  </si>
  <si>
    <t>Jerome Baddley CEnv FIEMA</t>
  </si>
  <si>
    <t>Laudium</t>
  </si>
  <si>
    <t>Stanza</t>
  </si>
  <si>
    <t>18.02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</si>
</sst>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7">
    <numFmt numFmtId="41" formatCode="_-* #,##0_-;\-* #,##0_-;_-* &quot;-&quot;_-;_-@_-"/>
    <numFmt numFmtId="43" formatCode="_-* #,##0.00_-;\-* #,##0.00_-;_-* &quot;-&quot;??_-;_-@_-"/>
    <numFmt numFmtId="164" formatCode="_(&quot;$&quot;* #,##0.00_);_(&quot;$&quot;* \(#,##0.00\);_(&quot;$&quot;* &quot;-&quot;??_);_(@_)"/>
    <numFmt numFmtId="165" formatCode="0.0"/>
    <numFmt numFmtId="166" formatCode="0.000"/>
    <numFmt numFmtId="167" formatCode="0.0000"/>
    <numFmt numFmtId="168" formatCode="0.00000"/>
    <numFmt numFmtId="169" formatCode="#,##0.00000"/>
    <numFmt numFmtId="170" formatCode="#,##0.0000"/>
    <numFmt numFmtId="171" formatCode="#,##0.000"/>
    <numFmt numFmtId="172" formatCode="#,##0.000000000"/>
    <numFmt numFmtId="173" formatCode="#,##0.0000000"/>
    <numFmt numFmtId="174" formatCode="0.0000000"/>
    <numFmt numFmtId="175" formatCode="0.000000"/>
    <numFmt numFmtId="176" formatCode="0.00000000"/>
    <numFmt numFmtId="177" formatCode="_-* #,##0_-;\-* #,##0_-;_-* &quot;-&quot;??_-;_-@_-"/>
    <numFmt numFmtId="178" formatCode="[$-409]mmm\-yy;@"/>
    <numFmt numFmtId="179" formatCode="_([$€-2]* #,##0.00_);_([$€-2]* \(#,##0.00\);_([$€-2]* &quot;-&quot;??_)"/>
    <numFmt numFmtId="180" formatCode="&quot;$&quot;#,##0\ ;\(&quot;$&quot;#,##0\)"/>
    <numFmt numFmtId="181" formatCode="??0.00"/>
    <numFmt numFmtId="182" formatCode="??0.00000"/>
    <numFmt numFmtId="183" formatCode="_-* #,##0.00000_-;\-* #,##0.00000_-;_-* &quot;-&quot;??_-;_-@_-"/>
    <numFmt numFmtId="184" formatCode="??0.0?????"/>
    <numFmt numFmtId="185" formatCode="??0.0??????"/>
    <numFmt numFmtId="186" formatCode="??0.0????"/>
    <numFmt numFmtId="187" formatCode="??0"/>
    <numFmt numFmtId="188" formatCode="_(* #,##0.0000000_);_(* \(#,##0.0000000\);_(* &quot;-&quot;??_);_(@_)"/>
    <numFmt numFmtId="189" formatCode="_-* #,##0.0000_-;\-* #,##0.0000_-;_-* &quot;-&quot;??_-;_-@_-"/>
    <numFmt numFmtId="190" formatCode="_-* #,##0.000_-;\-* #,##0.000_-;_-* &quot;-&quot;??_-;_-@_-"/>
    <numFmt numFmtId="191" formatCode="_-* #,##0.0_-;\-* #,##0.0_-;_-* &quot;-&quot;??_-;_-@_-"/>
    <numFmt numFmtId="192" formatCode="&quot; &quot;#,##0.000&quot; &quot;;&quot;-&quot;#,##0.000&quot; &quot;;&quot; -&quot;00&quot; &quot;;&quot; &quot;@&quot; &quot;"/>
    <numFmt numFmtId="193" formatCode="_-[$$-409]* #,##0_ ;_-[$$-409]* \-#,##0\ ;_-[$$-409]* &quot;-&quot;??_ ;_-@_ "/>
    <numFmt numFmtId="194" formatCode="0.0%"/>
    <numFmt numFmtId="195" formatCode="0.00000000000000000000000000000000000000000000000000"/>
    <numFmt numFmtId="196" formatCode="mm/yyyy"/>
    <numFmt numFmtId="197" formatCode="_-[$$-409]* #,##0.00_ ;_-[$$-409]* \-#,##0.00\ ;_-[$$-409]* &quot;-&quot;??_ ;_-@_ "/>
    <numFmt numFmtId="198" formatCode="[$-F800]dddd\,\ mmmm\ dd\,\ yyyy"/>
  </numFmts>
  <fonts count="112" x14ac:knownFonts="1">
    <font>
      <sz val="11"/>
      <color theme="1"/>
      <name val="Calibri"/>
      <family val="2"/>
      <scheme val="minor"/>
    </font>
    <font>
      <sz val="11"/>
      <color theme="1"/>
      <name val="Calibri"/>
      <family val="2"/>
      <scheme val="minor"/>
    </font>
    <font>
      <sz val="18"/>
      <color theme="3"/>
      <name val="Calibri Light"/>
      <family val="2"/>
      <scheme val="major"/>
    </font>
    <font>
      <sz val="11"/>
      <color rgb="FF006100"/>
      <name val="Calibri"/>
      <family val="2"/>
      <scheme val="minor"/>
    </font>
    <font>
      <sz val="11"/>
      <color rgb="FF9C0006"/>
      <name val="Calibri"/>
      <family val="2"/>
      <scheme val="minor"/>
    </font>
    <font>
      <sz val="11"/>
      <color rgb="FF9C5700"/>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
      <b/>
      <vertAlign val="subscript"/>
      <sz val="11"/>
      <color theme="1"/>
      <name val="Calibri"/>
      <family val="2"/>
      <scheme val="minor"/>
    </font>
    <font>
      <sz val="10"/>
      <color theme="1"/>
      <name val="Arial"/>
      <family val="2"/>
    </font>
    <font>
      <sz val="10"/>
      <name val="Arial"/>
      <family val="2"/>
    </font>
    <font>
      <u/>
      <sz val="11"/>
      <color indexed="12"/>
      <name val="Calibri"/>
      <family val="2"/>
    </font>
    <font>
      <sz val="10"/>
      <color theme="9" tint="-0.499984740745262"/>
      <name val="Arial"/>
      <family val="2"/>
    </font>
    <font>
      <i/>
      <sz val="10"/>
      <color rgb="FFFF0000"/>
      <name val="Arial"/>
      <family val="2"/>
    </font>
    <font>
      <u/>
      <sz val="10"/>
      <color theme="11"/>
      <name val="Arial"/>
      <family val="2"/>
    </font>
    <font>
      <b/>
      <sz val="10"/>
      <color theme="0"/>
      <name val="Arial"/>
      <family val="2"/>
    </font>
    <font>
      <sz val="11"/>
      <color theme="1"/>
      <name val="Arial"/>
      <family val="2"/>
    </font>
    <font>
      <sz val="11"/>
      <name val="Calibri"/>
      <family val="2"/>
      <scheme val="minor"/>
    </font>
    <font>
      <vertAlign val="superscript"/>
      <sz val="11"/>
      <name val="Calibri"/>
      <family val="2"/>
    </font>
    <font>
      <sz val="11"/>
      <color indexed="56"/>
      <name val="Arial"/>
      <family val="2"/>
    </font>
    <font>
      <vertAlign val="superscript"/>
      <sz val="11"/>
      <color indexed="56"/>
      <name val="Calibri"/>
      <family val="2"/>
    </font>
    <font>
      <b/>
      <vertAlign val="superscript"/>
      <sz val="11"/>
      <color indexed="56"/>
      <name val="Calibri"/>
      <family val="2"/>
    </font>
    <font>
      <vertAlign val="subscript"/>
      <sz val="11"/>
      <color indexed="56"/>
      <name val="Arial"/>
      <family val="2"/>
    </font>
    <font>
      <sz val="11"/>
      <name val="Arial"/>
      <family val="2"/>
    </font>
    <font>
      <sz val="11"/>
      <color rgb="FF053D5F"/>
      <name val="Calibri"/>
      <family val="2"/>
      <scheme val="minor"/>
    </font>
    <font>
      <b/>
      <sz val="10"/>
      <color rgb="FF053D5F"/>
      <name val="Calibri"/>
      <family val="2"/>
      <scheme val="minor"/>
    </font>
    <font>
      <b/>
      <u/>
      <sz val="11"/>
      <color rgb="FF053D5F"/>
      <name val="Calibri"/>
      <family val="2"/>
      <scheme val="minor"/>
    </font>
    <font>
      <i/>
      <sz val="11"/>
      <color rgb="FF053D5F"/>
      <name val="Calibri"/>
      <family val="2"/>
      <scheme val="minor"/>
    </font>
    <font>
      <b/>
      <sz val="11"/>
      <color rgb="FF053D5F"/>
      <name val="Calibri"/>
      <family val="2"/>
      <scheme val="minor"/>
    </font>
    <font>
      <sz val="10"/>
      <color rgb="FF053D5F"/>
      <name val="Calibri"/>
      <family val="2"/>
      <scheme val="minor"/>
    </font>
    <font>
      <sz val="4"/>
      <color rgb="FF053D5F"/>
      <name val="Calibri"/>
      <family val="2"/>
      <scheme val="minor"/>
    </font>
    <font>
      <u/>
      <sz val="11"/>
      <color theme="10"/>
      <name val="Calibri"/>
      <family val="2"/>
    </font>
    <font>
      <vertAlign val="superscript"/>
      <sz val="11"/>
      <color rgb="FF053D5F"/>
      <name val="Calibri"/>
      <family val="2"/>
      <scheme val="minor"/>
    </font>
    <font>
      <i/>
      <sz val="10"/>
      <color rgb="FF053D5F"/>
      <name val="Calibri"/>
      <family val="2"/>
      <scheme val="minor"/>
    </font>
    <font>
      <b/>
      <sz val="16"/>
      <name val="Calibri"/>
      <family val="2"/>
      <scheme val="minor"/>
    </font>
    <font>
      <i/>
      <sz val="8"/>
      <name val="Calibri"/>
      <family val="2"/>
      <scheme val="minor"/>
    </font>
    <font>
      <sz val="9"/>
      <color rgb="FF053D5F"/>
      <name val="Calibri"/>
      <family val="2"/>
      <scheme val="minor"/>
    </font>
    <font>
      <sz val="11"/>
      <color rgb="FF053D5F"/>
      <name val="Arial"/>
      <family val="2"/>
    </font>
    <font>
      <i/>
      <sz val="11"/>
      <color theme="1"/>
      <name val="Calibri"/>
      <family val="2"/>
      <scheme val="minor"/>
    </font>
    <font>
      <sz val="10"/>
      <name val="Verdana"/>
      <family val="2"/>
    </font>
    <font>
      <u/>
      <sz val="10"/>
      <color indexed="12"/>
      <name val="Verdana"/>
      <family val="2"/>
    </font>
    <font>
      <u/>
      <sz val="10"/>
      <color indexed="12"/>
      <name val="Arial"/>
      <family val="2"/>
    </font>
    <font>
      <sz val="1"/>
      <name val="Arial"/>
      <family val="2"/>
    </font>
    <font>
      <sz val="8"/>
      <name val="Helv"/>
    </font>
    <font>
      <b/>
      <sz val="14"/>
      <name val="Helv"/>
    </font>
    <font>
      <b/>
      <sz val="12"/>
      <name val="Helv"/>
    </font>
    <font>
      <sz val="10"/>
      <color indexed="24"/>
      <name val="Arial"/>
      <family val="2"/>
    </font>
    <font>
      <sz val="9"/>
      <color theme="1"/>
      <name val="Calibri"/>
      <family val="2"/>
      <scheme val="minor"/>
    </font>
    <font>
      <b/>
      <sz val="9"/>
      <color theme="1"/>
      <name val="Calibri"/>
      <family val="2"/>
      <scheme val="minor"/>
    </font>
    <font>
      <sz val="11"/>
      <color rgb="FF002060"/>
      <name val="Calibri"/>
      <family val="2"/>
      <scheme val="minor"/>
    </font>
    <font>
      <vertAlign val="subscript"/>
      <sz val="11"/>
      <color indexed="56"/>
      <name val="Calibri"/>
      <family val="2"/>
    </font>
    <font>
      <sz val="11"/>
      <color indexed="56"/>
      <name val="Calibri"/>
      <family val="2"/>
    </font>
    <font>
      <b/>
      <sz val="8"/>
      <name val="Tahoma"/>
      <family val="2"/>
    </font>
    <font>
      <b/>
      <sz val="9"/>
      <color indexed="81"/>
      <name val="Tahoma"/>
      <family val="2"/>
    </font>
    <font>
      <b/>
      <sz val="8"/>
      <color indexed="81"/>
      <name val="Tahoma"/>
      <family val="2"/>
    </font>
    <font>
      <sz val="9"/>
      <color indexed="81"/>
      <name val="Tahoma"/>
      <family val="2"/>
    </font>
    <font>
      <sz val="11"/>
      <name val="Calibri"/>
      <family val="2"/>
    </font>
    <font>
      <sz val="11"/>
      <color rgb="FF000000"/>
      <name val="Calibri"/>
      <family val="2"/>
      <scheme val="minor"/>
    </font>
    <font>
      <b/>
      <sz val="11"/>
      <name val="Calibri"/>
      <family val="2"/>
      <scheme val="minor"/>
    </font>
    <font>
      <sz val="14"/>
      <name val="Calibri"/>
      <family val="2"/>
      <scheme val="minor"/>
    </font>
    <font>
      <vertAlign val="subscript"/>
      <sz val="11"/>
      <name val="Calibri"/>
      <family val="2"/>
      <scheme val="minor"/>
    </font>
    <font>
      <sz val="11"/>
      <color indexed="8"/>
      <name val="Calibri"/>
      <family val="2"/>
      <scheme val="minor"/>
    </font>
    <font>
      <b/>
      <sz val="11"/>
      <color indexed="8"/>
      <name val="Calibri"/>
      <family val="2"/>
      <scheme val="minor"/>
    </font>
    <font>
      <b/>
      <sz val="14"/>
      <name val="Calibri"/>
      <family val="2"/>
      <scheme val="minor"/>
    </font>
    <font>
      <b/>
      <i/>
      <sz val="11"/>
      <color theme="1"/>
      <name val="Calibri"/>
      <family val="2"/>
      <scheme val="minor"/>
    </font>
    <font>
      <sz val="8"/>
      <color indexed="56"/>
      <name val="Calibri"/>
      <family val="2"/>
    </font>
    <font>
      <vertAlign val="subscript"/>
      <sz val="8"/>
      <color indexed="56"/>
      <name val="Calibri"/>
      <family val="2"/>
    </font>
    <font>
      <sz val="8"/>
      <color rgb="FF002060"/>
      <name val="Calibri"/>
      <family val="2"/>
      <scheme val="minor"/>
    </font>
    <font>
      <b/>
      <sz val="11"/>
      <color rgb="FFC00000"/>
      <name val="Calibri"/>
      <family val="2"/>
      <scheme val="minor"/>
    </font>
    <font>
      <b/>
      <sz val="11"/>
      <name val="Calibri"/>
      <family val="2"/>
    </font>
    <font>
      <b/>
      <vertAlign val="subscript"/>
      <sz val="11"/>
      <name val="Calibri"/>
      <family val="2"/>
    </font>
    <font>
      <i/>
      <sz val="11"/>
      <color theme="5" tint="-0.249977111117893"/>
      <name val="Calibri"/>
      <family val="2"/>
      <scheme val="minor"/>
    </font>
    <font>
      <sz val="11"/>
      <color rgb="FF222222"/>
      <name val="Calibri"/>
      <family val="2"/>
      <scheme val="minor"/>
    </font>
    <font>
      <sz val="12"/>
      <name val="Calibri"/>
      <family val="2"/>
      <scheme val="minor"/>
    </font>
    <font>
      <b/>
      <sz val="14"/>
      <color theme="1"/>
      <name val="Calibri"/>
      <family val="2"/>
      <scheme val="minor"/>
    </font>
    <font>
      <b/>
      <sz val="11"/>
      <color rgb="FF222222"/>
      <name val="Calibri"/>
      <family val="2"/>
      <scheme val="minor"/>
    </font>
    <font>
      <sz val="11"/>
      <color theme="1"/>
      <name val="Calibri"/>
      <family val="2"/>
    </font>
    <font>
      <sz val="10"/>
      <color rgb="FF333333"/>
      <name val="Arial"/>
      <family val="2"/>
    </font>
    <font>
      <b/>
      <sz val="10"/>
      <color rgb="FF333333"/>
      <name val="Arial"/>
      <family val="2"/>
    </font>
    <font>
      <b/>
      <sz val="10"/>
      <name val="Arial"/>
      <family val="2"/>
    </font>
    <font>
      <sz val="10"/>
      <color rgb="FFFF0000"/>
      <name val="Arial"/>
      <family val="2"/>
    </font>
    <font>
      <b/>
      <sz val="9"/>
      <color rgb="FF000000"/>
      <name val="Tahoma"/>
      <family val="2"/>
    </font>
    <font>
      <sz val="9"/>
      <color rgb="FF000000"/>
      <name val="Tahoma"/>
      <family val="2"/>
    </font>
    <font>
      <sz val="12"/>
      <color rgb="FF000000"/>
      <name val="Tahoma"/>
      <family val="2"/>
    </font>
    <font>
      <b/>
      <sz val="8"/>
      <color rgb="FF000000"/>
      <name val="Tahoma"/>
      <family val="2"/>
    </font>
    <font>
      <sz val="8"/>
      <color rgb="FF000000"/>
      <name val="Tahoma"/>
      <family val="2"/>
    </font>
    <font>
      <sz val="12"/>
      <color theme="1"/>
      <name val="Calibri"/>
      <family val="2"/>
      <scheme val="minor"/>
    </font>
    <font>
      <sz val="8"/>
      <name val="Arial"/>
      <family val="2"/>
    </font>
    <font>
      <b/>
      <i/>
      <sz val="11"/>
      <color rgb="FFFF0000"/>
      <name val="Calibri"/>
      <family val="2"/>
      <scheme val="minor"/>
    </font>
    <font>
      <b/>
      <u/>
      <sz val="11"/>
      <color theme="10"/>
      <name val="Calibri"/>
      <family val="2"/>
      <scheme val="minor"/>
    </font>
    <font>
      <b/>
      <sz val="11"/>
      <color rgb="FF000000"/>
      <name val="Calibri"/>
      <family val="2"/>
      <scheme val="minor"/>
    </font>
    <font>
      <sz val="11"/>
      <color rgb="FF222222"/>
      <name val="Verdana"/>
      <family val="2"/>
    </font>
    <font>
      <i/>
      <sz val="11"/>
      <name val="Calibri"/>
      <family val="2"/>
      <scheme val="minor"/>
    </font>
    <font>
      <b/>
      <i/>
      <sz val="11"/>
      <name val="Calibri"/>
      <family val="2"/>
      <scheme val="minor"/>
    </font>
    <font>
      <b/>
      <sz val="11"/>
      <color indexed="18"/>
      <name val="Calibri"/>
      <family val="2"/>
      <scheme val="minor"/>
    </font>
    <font>
      <i/>
      <sz val="11"/>
      <color indexed="17"/>
      <name val="Calibri"/>
      <family val="2"/>
      <scheme val="minor"/>
    </font>
    <font>
      <b/>
      <sz val="11"/>
      <color rgb="FF0000FF"/>
      <name val="Calibri"/>
      <family val="2"/>
      <scheme val="minor"/>
    </font>
    <font>
      <sz val="10"/>
      <color theme="3"/>
      <name val="Calibri"/>
      <family val="2"/>
      <scheme val="minor"/>
    </font>
    <font>
      <b/>
      <sz val="11"/>
      <color rgb="FF222222"/>
      <name val="Calibri"/>
      <family val="2"/>
    </font>
    <font>
      <b/>
      <sz val="11"/>
      <color theme="1"/>
      <name val="Arial"/>
      <family val="2"/>
    </font>
    <font>
      <b/>
      <sz val="11"/>
      <color rgb="FFFF0000"/>
      <name val="Calibri"/>
      <family val="2"/>
      <scheme val="minor"/>
    </font>
    <font>
      <sz val="11"/>
      <color rgb="FFFF0000"/>
      <name val="Arial"/>
      <family val="2"/>
    </font>
    <font>
      <b/>
      <u/>
      <sz val="11"/>
      <color rgb="FFFF0000"/>
      <name val="Calibri"/>
      <family val="2"/>
      <scheme val="minor"/>
    </font>
    <font>
      <b/>
      <u/>
      <sz val="11"/>
      <color theme="1"/>
      <name val="Calibri"/>
      <family val="2"/>
      <scheme val="minor"/>
    </font>
    <font>
      <u/>
      <sz val="11"/>
      <color theme="1"/>
      <name val="Calibri"/>
      <family val="2"/>
      <scheme val="minor"/>
    </font>
    <font>
      <b/>
      <sz val="11"/>
      <color theme="5" tint="0.79998168889431442"/>
      <name val="Calibri"/>
      <family val="2"/>
      <scheme val="minor"/>
    </font>
    <font>
      <b/>
      <sz val="12"/>
      <color theme="1"/>
      <name val="Calibri"/>
      <family val="2"/>
      <scheme val="minor"/>
    </font>
    <font>
      <b/>
      <sz val="20"/>
      <name val="Calibri"/>
      <family val="2"/>
      <scheme val="minor"/>
    </font>
    <font>
      <b/>
      <i/>
      <sz val="14"/>
      <color theme="1"/>
      <name val="Calibri"/>
      <family val="2"/>
      <scheme val="minor"/>
    </font>
  </fonts>
  <fills count="6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rgb="FFCC99FF"/>
        <bgColor indexed="64"/>
      </patternFill>
    </fill>
    <fill>
      <patternFill patternType="solid">
        <fgColor theme="7" tint="0.39997558519241921"/>
        <bgColor rgb="FF000000"/>
      </patternFill>
    </fill>
    <fill>
      <patternFill patternType="solid">
        <fgColor rgb="FFFFFF99"/>
        <bgColor indexed="64"/>
      </patternFill>
    </fill>
    <fill>
      <patternFill patternType="solid">
        <fgColor rgb="FFFFFF99"/>
        <bgColor rgb="FF000000"/>
      </patternFill>
    </fill>
    <fill>
      <patternFill patternType="solid">
        <fgColor rgb="FF92D050"/>
        <bgColor indexed="64"/>
      </patternFill>
    </fill>
    <fill>
      <patternFill patternType="solid">
        <fgColor rgb="FF002060"/>
        <bgColor indexed="64"/>
      </patternFill>
    </fill>
    <fill>
      <patternFill patternType="solid">
        <fgColor theme="4" tint="0.79998168889431442"/>
        <bgColor rgb="FF000000"/>
      </patternFill>
    </fill>
    <fill>
      <patternFill patternType="solid">
        <fgColor rgb="FFFF0000"/>
        <bgColor indexed="64"/>
      </patternFill>
    </fill>
    <fill>
      <patternFill patternType="solid">
        <fgColor indexed="9"/>
        <bgColor indexed="64"/>
      </patternFill>
    </fill>
    <fill>
      <patternFill patternType="solid">
        <fgColor theme="0"/>
        <bgColor indexed="64"/>
      </patternFill>
    </fill>
    <fill>
      <patternFill patternType="solid">
        <fgColor rgb="FFD9D9D9"/>
        <bgColor indexed="64"/>
      </patternFill>
    </fill>
    <fill>
      <patternFill patternType="solid">
        <fgColor theme="0" tint="-4.9989318521683403E-2"/>
        <bgColor indexed="64"/>
      </patternFill>
    </fill>
    <fill>
      <patternFill patternType="gray125">
        <bgColor theme="0"/>
      </patternFill>
    </fill>
    <fill>
      <patternFill patternType="solid">
        <fgColor theme="7" tint="0.79998168889431442"/>
        <bgColor indexed="64"/>
      </patternFill>
    </fill>
    <fill>
      <patternFill patternType="lightGray">
        <bgColor theme="0"/>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rgb="FFFFFFFF"/>
        <bgColor indexed="64"/>
      </patternFill>
    </fill>
    <fill>
      <patternFill patternType="solid">
        <fgColor theme="4" tint="0.79998168889431442"/>
        <bgColor indexed="64"/>
      </patternFill>
    </fill>
    <fill>
      <patternFill patternType="lightDown">
        <fgColor rgb="FFB8CCE4"/>
        <bgColor rgb="FFFFFFFF"/>
      </patternFill>
    </fill>
    <fill>
      <patternFill patternType="solid">
        <fgColor theme="0" tint="-0.14999847407452621"/>
        <bgColor rgb="FF000000"/>
      </patternFill>
    </fill>
    <fill>
      <patternFill patternType="solid">
        <fgColor rgb="FFFFFF00"/>
        <bgColor indexed="64"/>
      </patternFill>
    </fill>
    <fill>
      <patternFill patternType="solid">
        <fgColor theme="2"/>
        <bgColor indexed="64"/>
      </patternFill>
    </fill>
    <fill>
      <patternFill patternType="solid">
        <fgColor rgb="FFF3F3F3"/>
      </patternFill>
    </fill>
    <fill>
      <patternFill patternType="solid">
        <fgColor theme="9" tint="0.59999389629810485"/>
        <bgColor indexed="64"/>
      </patternFill>
    </fill>
    <fill>
      <patternFill patternType="solid">
        <fgColor rgb="FF00B050"/>
        <bgColor indexed="64"/>
      </patternFill>
    </fill>
    <fill>
      <patternFill patternType="solid">
        <fgColor theme="7" tint="0.39997558519241921"/>
        <bgColor indexed="64"/>
      </patternFill>
    </fill>
    <fill>
      <patternFill patternType="solid">
        <fgColor theme="0" tint="-0.14999847407452621"/>
        <bgColor theme="4" tint="0.79998168889431442"/>
      </patternFill>
    </fill>
    <fill>
      <patternFill patternType="solid">
        <fgColor theme="6"/>
        <bgColor indexed="64"/>
      </patternFill>
    </fill>
    <fill>
      <patternFill patternType="solid">
        <fgColor theme="6" tint="0.59999389629810485"/>
        <bgColor indexed="64"/>
      </patternFill>
    </fill>
    <fill>
      <patternFill patternType="solid">
        <fgColor theme="3" tint="0.79998168889431442"/>
        <bgColor indexed="64"/>
      </patternFill>
    </fill>
  </fills>
  <borders count="163">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rgb="FFBFBFBF"/>
      </left>
      <right style="thin">
        <color rgb="FFBFBFBF"/>
      </right>
      <top style="thin">
        <color rgb="FFBFBFBF"/>
      </top>
      <bottom style="thin">
        <color rgb="FFBFBFBF"/>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right style="thin">
        <color indexed="64"/>
      </right>
      <top/>
      <bottom style="thin">
        <color indexed="64"/>
      </bottom>
      <diagonal/>
    </border>
    <border>
      <left/>
      <right/>
      <top/>
      <bottom style="thin">
        <color indexed="64"/>
      </bottom>
      <diagonal/>
    </border>
    <border>
      <left/>
      <right/>
      <top style="thin">
        <color indexed="64"/>
      </top>
      <bottom/>
      <diagonal/>
    </border>
    <border>
      <left style="thin">
        <color rgb="FF053D5F"/>
      </left>
      <right style="thick">
        <color rgb="FF053D5F"/>
      </right>
      <top style="thin">
        <color rgb="FF053D5F"/>
      </top>
      <bottom style="thin">
        <color rgb="FF053D5F"/>
      </bottom>
      <diagonal/>
    </border>
    <border>
      <left style="thin">
        <color rgb="FF053D5F"/>
      </left>
      <right style="thin">
        <color rgb="FF053D5F"/>
      </right>
      <top style="thick">
        <color rgb="FF053D5F"/>
      </top>
      <bottom style="thin">
        <color rgb="FF053D5F"/>
      </bottom>
      <diagonal/>
    </border>
    <border>
      <left style="thick">
        <color rgb="FF053D5F"/>
      </left>
      <right style="thick">
        <color rgb="FF053D5F"/>
      </right>
      <top style="thick">
        <color rgb="FF053D5F"/>
      </top>
      <bottom style="thin">
        <color rgb="FF053D5F"/>
      </bottom>
      <diagonal/>
    </border>
    <border>
      <left style="thick">
        <color rgb="FF053D5F"/>
      </left>
      <right style="thin">
        <color rgb="FF053D5F"/>
      </right>
      <top style="thick">
        <color rgb="FF053D5F"/>
      </top>
      <bottom style="thin">
        <color rgb="FF053D5F"/>
      </bottom>
      <diagonal/>
    </border>
    <border>
      <left style="thin">
        <color rgb="FF053D5F"/>
      </left>
      <right style="thin">
        <color rgb="FF053D5F"/>
      </right>
      <top style="thin">
        <color rgb="FF053D5F"/>
      </top>
      <bottom style="thick">
        <color rgb="FF053D5F"/>
      </bottom>
      <diagonal/>
    </border>
    <border>
      <left style="thin">
        <color rgb="FF053D5F"/>
      </left>
      <right style="thin">
        <color rgb="FF053D5F"/>
      </right>
      <top style="thin">
        <color rgb="FF053D5F"/>
      </top>
      <bottom style="thin">
        <color rgb="FF053D5F"/>
      </bottom>
      <diagonal/>
    </border>
    <border>
      <left style="thick">
        <color rgb="FF053D5F"/>
      </left>
      <right style="thin">
        <color rgb="FF053D5F"/>
      </right>
      <top style="thin">
        <color rgb="FF053D5F"/>
      </top>
      <bottom style="thick">
        <color rgb="FF053D5F"/>
      </bottom>
      <diagonal/>
    </border>
    <border>
      <left style="thick">
        <color rgb="FF053D5F"/>
      </left>
      <right style="thin">
        <color rgb="FF053D5F"/>
      </right>
      <top style="thin">
        <color rgb="FF053D5F"/>
      </top>
      <bottom style="thin">
        <color rgb="FF053D5F"/>
      </bottom>
      <diagonal/>
    </border>
    <border>
      <left style="thin">
        <color rgb="FF053D5F"/>
      </left>
      <right style="thick">
        <color rgb="FF053D5F"/>
      </right>
      <top style="thin">
        <color rgb="FF053D5F"/>
      </top>
      <bottom style="thick">
        <color rgb="FF053D5F"/>
      </bottom>
      <diagonal/>
    </border>
    <border>
      <left style="thin">
        <color rgb="FF053D5F"/>
      </left>
      <right/>
      <top style="thick">
        <color rgb="FF053D5F"/>
      </top>
      <bottom style="thin">
        <color rgb="FF053D5F"/>
      </bottom>
      <diagonal/>
    </border>
    <border>
      <left style="thick">
        <color rgb="FF053D5F"/>
      </left>
      <right style="thick">
        <color rgb="FF053D5F"/>
      </right>
      <top style="thin">
        <color rgb="FF053D5F"/>
      </top>
      <bottom style="thick">
        <color rgb="FF053D5F"/>
      </bottom>
      <diagonal/>
    </border>
    <border>
      <left style="thin">
        <color rgb="FF053D5F"/>
      </left>
      <right style="thick">
        <color rgb="FF053D5F"/>
      </right>
      <top style="thick">
        <color rgb="FF053D5F"/>
      </top>
      <bottom style="thin">
        <color rgb="FF053D5F"/>
      </bottom>
      <diagonal/>
    </border>
    <border>
      <left style="thick">
        <color rgb="FF053D5F"/>
      </left>
      <right style="thick">
        <color rgb="FF053D5F"/>
      </right>
      <top style="thick">
        <color rgb="FF053D5F"/>
      </top>
      <bottom style="thick">
        <color rgb="FF053D5F"/>
      </bottom>
      <diagonal/>
    </border>
    <border>
      <left style="thick">
        <color rgb="FF053D5F"/>
      </left>
      <right style="thick">
        <color rgb="FF053D5F"/>
      </right>
      <top style="thin">
        <color rgb="FF053D5F"/>
      </top>
      <bottom style="thin">
        <color rgb="FF053D5F"/>
      </bottom>
      <diagonal/>
    </border>
    <border>
      <left/>
      <right style="thick">
        <color rgb="FF053D5F"/>
      </right>
      <top style="thick">
        <color rgb="FF053D5F"/>
      </top>
      <bottom style="thin">
        <color rgb="FF053D5F"/>
      </bottom>
      <diagonal/>
    </border>
    <border>
      <left/>
      <right style="thick">
        <color rgb="FF053D5F"/>
      </right>
      <top style="thin">
        <color rgb="FF053D5F"/>
      </top>
      <bottom/>
      <diagonal/>
    </border>
    <border>
      <left style="thick">
        <color rgb="FF053D5F"/>
      </left>
      <right style="thick">
        <color rgb="FF053D5F"/>
      </right>
      <top style="thin">
        <color rgb="FF053D5F"/>
      </top>
      <bottom/>
      <diagonal/>
    </border>
    <border>
      <left style="thick">
        <color rgb="FF053D5F"/>
      </left>
      <right style="thick">
        <color rgb="FF053D5F"/>
      </right>
      <top style="thick">
        <color rgb="FF053D5F"/>
      </top>
      <bottom/>
      <diagonal/>
    </border>
    <border>
      <left/>
      <right style="thick">
        <color rgb="FF053D5F"/>
      </right>
      <top style="thin">
        <color rgb="FF053D5F"/>
      </top>
      <bottom style="thick">
        <color rgb="FF053D5F"/>
      </bottom>
      <diagonal/>
    </border>
    <border>
      <left style="double">
        <color rgb="FF053D5F"/>
      </left>
      <right/>
      <top style="double">
        <color rgb="FF053D5F"/>
      </top>
      <bottom style="double">
        <color rgb="FF053D5F"/>
      </bottom>
      <diagonal/>
    </border>
    <border>
      <left/>
      <right/>
      <top style="double">
        <color rgb="FF053D5F"/>
      </top>
      <bottom style="double">
        <color rgb="FF053D5F"/>
      </bottom>
      <diagonal/>
    </border>
    <border>
      <left/>
      <right style="double">
        <color rgb="FF053D5F"/>
      </right>
      <top style="double">
        <color rgb="FF053D5F"/>
      </top>
      <bottom style="double">
        <color rgb="FF053D5F"/>
      </bottom>
      <diagonal/>
    </border>
    <border>
      <left style="thick">
        <color rgb="FF053D5F"/>
      </left>
      <right style="thick">
        <color rgb="FF053D5F"/>
      </right>
      <top/>
      <bottom/>
      <diagonal/>
    </border>
    <border>
      <left style="thick">
        <color rgb="FF053D5F"/>
      </left>
      <right style="thick">
        <color rgb="FF053D5F"/>
      </right>
      <top/>
      <bottom style="thick">
        <color rgb="FF053D5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medium">
        <color auto="1"/>
      </right>
      <top/>
      <bottom style="thin">
        <color auto="1"/>
      </bottom>
      <diagonal/>
    </border>
    <border>
      <left style="medium">
        <color auto="1"/>
      </left>
      <right style="thin">
        <color auto="1"/>
      </right>
      <top/>
      <bottom style="thin">
        <color auto="1"/>
      </bottom>
      <diagonal/>
    </border>
    <border>
      <left/>
      <right style="thin">
        <color auto="1"/>
      </right>
      <top style="medium">
        <color auto="1"/>
      </top>
      <bottom style="thin">
        <color auto="1"/>
      </bottom>
      <diagonal/>
    </border>
    <border>
      <left/>
      <right/>
      <top style="thin">
        <color auto="1"/>
      </top>
      <bottom style="thin">
        <color auto="1"/>
      </bottom>
      <diagonal/>
    </border>
    <border>
      <left/>
      <right style="thin">
        <color auto="1"/>
      </right>
      <top style="thin">
        <color auto="1"/>
      </top>
      <bottom style="medium">
        <color auto="1"/>
      </bottom>
      <diagonal/>
    </border>
    <border>
      <left style="thin">
        <color auto="1"/>
      </left>
      <right style="medium">
        <color auto="1"/>
      </right>
      <top style="medium">
        <color auto="1"/>
      </top>
      <bottom/>
      <diagonal/>
    </border>
    <border>
      <left style="thin">
        <color auto="1"/>
      </left>
      <right/>
      <top style="thin">
        <color auto="1"/>
      </top>
      <bottom/>
      <diagonal/>
    </border>
    <border>
      <left style="thin">
        <color auto="1"/>
      </left>
      <right style="medium">
        <color auto="1"/>
      </right>
      <top/>
      <bottom style="medium">
        <color auto="1"/>
      </bottom>
      <diagonal/>
    </border>
    <border>
      <left style="medium">
        <color auto="1"/>
      </left>
      <right style="thin">
        <color auto="1"/>
      </right>
      <top style="medium">
        <color auto="1"/>
      </top>
      <bottom/>
      <diagonal/>
    </border>
    <border>
      <left style="thin">
        <color auto="1"/>
      </left>
      <right style="thin">
        <color auto="1"/>
      </right>
      <top/>
      <bottom style="medium">
        <color auto="1"/>
      </bottom>
      <diagonal/>
    </border>
    <border>
      <left style="medium">
        <color auto="1"/>
      </left>
      <right style="thin">
        <color auto="1"/>
      </right>
      <top style="thin">
        <color auto="1"/>
      </top>
      <bottom/>
      <diagonal/>
    </border>
    <border>
      <left style="thin">
        <color auto="1"/>
      </left>
      <right/>
      <top style="thin">
        <color auto="1"/>
      </top>
      <bottom style="medium">
        <color auto="1"/>
      </bottom>
      <diagonal/>
    </border>
    <border>
      <left style="thin">
        <color auto="1"/>
      </left>
      <right style="thin">
        <color auto="1"/>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medium">
        <color auto="1"/>
      </top>
      <bottom style="thin">
        <color auto="1"/>
      </bottom>
      <diagonal/>
    </border>
    <border>
      <left style="thin">
        <color auto="1"/>
      </left>
      <right style="medium">
        <color auto="1"/>
      </right>
      <top style="thin">
        <color auto="1"/>
      </top>
      <bottom/>
      <diagonal/>
    </border>
    <border>
      <left style="medium">
        <color auto="1"/>
      </left>
      <right style="thin">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style="medium">
        <color auto="1"/>
      </top>
      <bottom/>
      <diagonal/>
    </border>
    <border>
      <left/>
      <right style="thin">
        <color auto="1"/>
      </right>
      <top style="thin">
        <color auto="1"/>
      </top>
      <bottom/>
      <diagonal/>
    </border>
    <border>
      <left/>
      <right style="thin">
        <color auto="1"/>
      </right>
      <top/>
      <bottom/>
      <diagonal/>
    </border>
    <border>
      <left style="thin">
        <color indexed="64"/>
      </left>
      <right/>
      <top/>
      <bottom style="thin">
        <color indexed="64"/>
      </bottom>
      <diagonal/>
    </border>
    <border>
      <left/>
      <right/>
      <top/>
      <bottom style="dashed">
        <color theme="0" tint="-0.24994659260841701"/>
      </bottom>
      <diagonal/>
    </border>
    <border>
      <left/>
      <right/>
      <top/>
      <bottom style="thin">
        <color theme="0" tint="-0.249977111117893"/>
      </bottom>
      <diagonal/>
    </border>
    <border>
      <left style="thin">
        <color rgb="FF053D5F"/>
      </left>
      <right style="thin">
        <color rgb="FF053D5F"/>
      </right>
      <top style="thin">
        <color rgb="FF053D5F"/>
      </top>
      <bottom/>
      <diagonal/>
    </border>
    <border>
      <left style="thin">
        <color rgb="FF053D5F"/>
      </left>
      <right style="thin">
        <color rgb="FF053D5F"/>
      </right>
      <top/>
      <bottom/>
      <diagonal/>
    </border>
    <border>
      <left style="thin">
        <color rgb="FF053D5F"/>
      </left>
      <right style="thin">
        <color rgb="FF053D5F"/>
      </right>
      <top/>
      <bottom style="thin">
        <color rgb="FF053D5F"/>
      </bottom>
      <diagonal/>
    </border>
    <border>
      <left style="thin">
        <color rgb="FF053D5F"/>
      </left>
      <right/>
      <top style="thin">
        <color rgb="FF053D5F"/>
      </top>
      <bottom/>
      <diagonal/>
    </border>
    <border>
      <left style="thin">
        <color indexed="64"/>
      </left>
      <right style="thin">
        <color rgb="FF053D5F"/>
      </right>
      <top style="thin">
        <color indexed="64"/>
      </top>
      <bottom style="thin">
        <color rgb="FF053D5F"/>
      </bottom>
      <diagonal/>
    </border>
    <border>
      <left style="thin">
        <color rgb="FF053D5F"/>
      </left>
      <right style="thin">
        <color rgb="FF053D5F"/>
      </right>
      <top style="thin">
        <color indexed="64"/>
      </top>
      <bottom style="thin">
        <color rgb="FF053D5F"/>
      </bottom>
      <diagonal/>
    </border>
    <border>
      <left style="thin">
        <color rgb="FF053D5F"/>
      </left>
      <right style="thin">
        <color indexed="64"/>
      </right>
      <top style="thin">
        <color indexed="64"/>
      </top>
      <bottom style="thin">
        <color rgb="FF053D5F"/>
      </bottom>
      <diagonal/>
    </border>
    <border>
      <left style="thin">
        <color rgb="FF053D5F"/>
      </left>
      <right/>
      <top/>
      <bottom/>
      <diagonal/>
    </border>
    <border>
      <left style="thin">
        <color indexed="64"/>
      </left>
      <right style="thin">
        <color rgb="FF053D5F"/>
      </right>
      <top style="thin">
        <color rgb="FF053D5F"/>
      </top>
      <bottom style="thin">
        <color rgb="FF053D5F"/>
      </bottom>
      <diagonal/>
    </border>
    <border>
      <left style="thin">
        <color rgb="FF053D5F"/>
      </left>
      <right style="thin">
        <color indexed="64"/>
      </right>
      <top style="thin">
        <color rgb="FF053D5F"/>
      </top>
      <bottom style="thin">
        <color rgb="FF053D5F"/>
      </bottom>
      <diagonal/>
    </border>
    <border>
      <left style="thin">
        <color rgb="FF053D5F"/>
      </left>
      <right/>
      <top/>
      <bottom style="thin">
        <color rgb="FF053D5F"/>
      </bottom>
      <diagonal/>
    </border>
    <border>
      <left style="thin">
        <color indexed="64"/>
      </left>
      <right style="thin">
        <color rgb="FF053D5F"/>
      </right>
      <top style="thin">
        <color rgb="FF053D5F"/>
      </top>
      <bottom style="thin">
        <color indexed="64"/>
      </bottom>
      <diagonal/>
    </border>
    <border>
      <left style="thin">
        <color rgb="FF053D5F"/>
      </left>
      <right style="thin">
        <color rgb="FF053D5F"/>
      </right>
      <top style="thin">
        <color rgb="FF053D5F"/>
      </top>
      <bottom style="thin">
        <color indexed="64"/>
      </bottom>
      <diagonal/>
    </border>
    <border>
      <left style="thin">
        <color rgb="FF053D5F"/>
      </left>
      <right style="thin">
        <color indexed="64"/>
      </right>
      <top style="thin">
        <color rgb="FF053D5F"/>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bottom/>
      <diagonal/>
    </border>
    <border>
      <left style="thin">
        <color rgb="FF053D5F"/>
      </left>
      <right style="medium">
        <color indexed="64"/>
      </right>
      <top style="thin">
        <color indexed="64"/>
      </top>
      <bottom style="thin">
        <color rgb="FF053D5F"/>
      </bottom>
      <diagonal/>
    </border>
    <border>
      <left style="thin">
        <color rgb="FF053D5F"/>
      </left>
      <right/>
      <top style="thin">
        <color indexed="64"/>
      </top>
      <bottom style="thin">
        <color rgb="FF053D5F"/>
      </bottom>
      <diagonal/>
    </border>
    <border>
      <left style="thin">
        <color rgb="FF053D5F"/>
      </left>
      <right style="medium">
        <color indexed="64"/>
      </right>
      <top style="thin">
        <color rgb="FF053D5F"/>
      </top>
      <bottom style="thin">
        <color rgb="FF053D5F"/>
      </bottom>
      <diagonal/>
    </border>
    <border>
      <left style="thin">
        <color rgb="FF053D5F"/>
      </left>
      <right/>
      <top style="thin">
        <color rgb="FF053D5F"/>
      </top>
      <bottom style="thin">
        <color rgb="FF053D5F"/>
      </bottom>
      <diagonal/>
    </border>
    <border>
      <left style="thin">
        <color rgb="FF053D5F"/>
      </left>
      <right/>
      <top style="thin">
        <color rgb="FF053D5F"/>
      </top>
      <bottom style="thin">
        <color indexed="64"/>
      </bottom>
      <diagonal/>
    </border>
    <border>
      <left style="thick">
        <color rgb="FF053D5F"/>
      </left>
      <right style="thin">
        <color rgb="FF053D5F"/>
      </right>
      <top style="thin">
        <color rgb="FF053D5F"/>
      </top>
      <bottom/>
      <diagonal/>
    </border>
    <border>
      <left style="thin">
        <color rgb="FF053D5F"/>
      </left>
      <right style="thick">
        <color rgb="FF053D5F"/>
      </right>
      <top style="thin">
        <color rgb="FF053D5F"/>
      </top>
      <bottom/>
      <diagonal/>
    </border>
    <border>
      <left/>
      <right style="medium">
        <color indexed="64"/>
      </right>
      <top/>
      <bottom style="thin">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style="thin">
        <color rgb="FF053D5F"/>
      </right>
      <top style="thin">
        <color rgb="FF053D5F"/>
      </top>
      <bottom style="thin">
        <color rgb="FF053D5F"/>
      </bottom>
      <diagonal/>
    </border>
    <border>
      <left style="medium">
        <color indexed="64"/>
      </left>
      <right style="thin">
        <color rgb="FF053D5F"/>
      </right>
      <top style="medium">
        <color indexed="64"/>
      </top>
      <bottom style="thin">
        <color rgb="FF053D5F"/>
      </bottom>
      <diagonal/>
    </border>
    <border>
      <left style="thin">
        <color rgb="FF053D5F"/>
      </left>
      <right style="thick">
        <color rgb="FF053D5F"/>
      </right>
      <top style="medium">
        <color indexed="64"/>
      </top>
      <bottom style="thin">
        <color rgb="FF053D5F"/>
      </bottom>
      <diagonal/>
    </border>
    <border>
      <left style="thick">
        <color rgb="FF053D5F"/>
      </left>
      <right style="thin">
        <color rgb="FF053D5F"/>
      </right>
      <top style="medium">
        <color indexed="64"/>
      </top>
      <bottom style="thin">
        <color rgb="FF053D5F"/>
      </bottom>
      <diagonal/>
    </border>
    <border>
      <left style="medium">
        <color indexed="64"/>
      </left>
      <right style="thin">
        <color rgb="FF053D5F"/>
      </right>
      <top style="thin">
        <color rgb="FF053D5F"/>
      </top>
      <bottom style="medium">
        <color indexed="64"/>
      </bottom>
      <diagonal/>
    </border>
    <border>
      <left style="thin">
        <color rgb="FF053D5F"/>
      </left>
      <right style="thick">
        <color rgb="FF053D5F"/>
      </right>
      <top style="thin">
        <color rgb="FF053D5F"/>
      </top>
      <bottom style="medium">
        <color indexed="64"/>
      </bottom>
      <diagonal/>
    </border>
    <border>
      <left style="thick">
        <color rgb="FF053D5F"/>
      </left>
      <right style="thin">
        <color rgb="FF053D5F"/>
      </right>
      <top style="thin">
        <color rgb="FF053D5F"/>
      </top>
      <bottom style="medium">
        <color indexed="64"/>
      </bottom>
      <diagonal/>
    </border>
    <border>
      <left style="thin">
        <color rgb="FF053D5F"/>
      </left>
      <right style="medium">
        <color indexed="64"/>
      </right>
      <top style="thin">
        <color rgb="FF053D5F"/>
      </top>
      <bottom style="medium">
        <color indexed="64"/>
      </bottom>
      <diagonal/>
    </border>
    <border>
      <left style="thin">
        <color indexed="64"/>
      </left>
      <right style="thin">
        <color indexed="64"/>
      </right>
      <top style="thin">
        <color rgb="FF053D5F"/>
      </top>
      <bottom/>
      <diagonal/>
    </border>
    <border>
      <left style="thin">
        <color indexed="64"/>
      </left>
      <right/>
      <top style="medium">
        <color auto="1"/>
      </top>
      <bottom style="medium">
        <color auto="1"/>
      </bottom>
      <diagonal/>
    </border>
    <border>
      <left style="thin">
        <color auto="1"/>
      </left>
      <right/>
      <top style="medium">
        <color auto="1"/>
      </top>
      <bottom/>
      <diagonal/>
    </border>
    <border>
      <left style="thin">
        <color auto="1"/>
      </left>
      <right style="medium">
        <color auto="1"/>
      </right>
      <top/>
      <bottom/>
      <diagonal/>
    </border>
    <border>
      <left/>
      <right style="thin">
        <color indexed="64"/>
      </right>
      <top/>
      <bottom style="medium">
        <color indexed="64"/>
      </bottom>
      <diagonal/>
    </border>
    <border>
      <left style="medium">
        <color indexed="64"/>
      </left>
      <right style="medium">
        <color indexed="64"/>
      </right>
      <top style="thin">
        <color indexed="64"/>
      </top>
      <bottom/>
      <diagonal/>
    </border>
    <border>
      <left style="thin">
        <color rgb="FF053D5F"/>
      </left>
      <right style="thin">
        <color rgb="FF053D5F"/>
      </right>
      <top style="thin">
        <color rgb="FF053D5F"/>
      </top>
      <bottom style="thin">
        <color rgb="FF002060"/>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diagonal/>
    </border>
    <border>
      <left style="medium">
        <color indexed="64"/>
      </left>
      <right style="thick">
        <color rgb="FF053D5F"/>
      </right>
      <top style="medium">
        <color indexed="64"/>
      </top>
      <bottom style="thin">
        <color rgb="FF053D5F"/>
      </bottom>
      <diagonal/>
    </border>
    <border>
      <left style="thick">
        <color rgb="FF053D5F"/>
      </left>
      <right style="medium">
        <color indexed="64"/>
      </right>
      <top style="medium">
        <color indexed="64"/>
      </top>
      <bottom style="thin">
        <color rgb="FF053D5F"/>
      </bottom>
      <diagonal/>
    </border>
    <border>
      <left style="medium">
        <color indexed="64"/>
      </left>
      <right style="thick">
        <color rgb="FF053D5F"/>
      </right>
      <top style="thin">
        <color rgb="FF053D5F"/>
      </top>
      <bottom/>
      <diagonal/>
    </border>
    <border>
      <left style="thick">
        <color rgb="FF053D5F"/>
      </left>
      <right style="medium">
        <color indexed="64"/>
      </right>
      <top style="thin">
        <color rgb="FF053D5F"/>
      </top>
      <bottom/>
      <diagonal/>
    </border>
    <border>
      <left style="thick">
        <color rgb="FF053D5F"/>
      </left>
      <right style="thick">
        <color rgb="FF053D5F"/>
      </right>
      <top style="medium">
        <color indexed="64"/>
      </top>
      <bottom style="thin">
        <color rgb="FF053D5F"/>
      </bottom>
      <diagonal/>
    </border>
    <border>
      <left style="medium">
        <color indexed="64"/>
      </left>
      <right style="thick">
        <color rgb="FF053D5F"/>
      </right>
      <top style="thin">
        <color rgb="FF053D5F"/>
      </top>
      <bottom style="medium">
        <color indexed="64"/>
      </bottom>
      <diagonal/>
    </border>
    <border>
      <left style="thick">
        <color rgb="FF053D5F"/>
      </left>
      <right style="thick">
        <color rgb="FF053D5F"/>
      </right>
      <top style="thin">
        <color rgb="FF053D5F"/>
      </top>
      <bottom style="medium">
        <color indexed="64"/>
      </bottom>
      <diagonal/>
    </border>
    <border>
      <left style="thick">
        <color rgb="FF053D5F"/>
      </left>
      <right style="medium">
        <color indexed="64"/>
      </right>
      <top style="thin">
        <color rgb="FF053D5F"/>
      </top>
      <bottom style="medium">
        <color indexed="64"/>
      </bottom>
      <diagonal/>
    </border>
    <border>
      <left style="medium">
        <color auto="1"/>
      </left>
      <right style="thin">
        <color auto="1"/>
      </right>
      <top/>
      <bottom/>
      <diagonal/>
    </border>
    <border>
      <left/>
      <right/>
      <top style="thin">
        <color rgb="FF053D5F"/>
      </top>
      <bottom style="thin">
        <color rgb="FF053D5F"/>
      </bottom>
      <diagonal/>
    </border>
    <border>
      <left/>
      <right style="medium">
        <color indexed="64"/>
      </right>
      <top style="thin">
        <color indexed="64"/>
      </top>
      <bottom/>
      <diagonal/>
    </border>
    <border>
      <left style="thin">
        <color auto="1"/>
      </left>
      <right/>
      <top/>
      <bottom style="medium">
        <color auto="1"/>
      </bottom>
      <diagonal/>
    </border>
    <border>
      <left style="medium">
        <color indexed="64"/>
      </left>
      <right/>
      <top style="thin">
        <color indexed="64"/>
      </top>
      <bottom/>
      <diagonal/>
    </border>
    <border>
      <left style="medium">
        <color indexed="64"/>
      </left>
      <right/>
      <top/>
      <bottom style="thin">
        <color indexed="64"/>
      </bottom>
      <diagonal/>
    </border>
    <border>
      <left/>
      <right style="thin">
        <color rgb="FF053D5F"/>
      </right>
      <top style="thin">
        <color rgb="FF053D5F"/>
      </top>
      <bottom/>
      <diagonal/>
    </border>
    <border>
      <left/>
      <right style="thin">
        <color rgb="FF053D5F"/>
      </right>
      <top/>
      <bottom/>
      <diagonal/>
    </border>
    <border>
      <left/>
      <right style="thin">
        <color rgb="FF053D5F"/>
      </right>
      <top/>
      <bottom style="thin">
        <color rgb="FF053D5F"/>
      </bottom>
      <diagonal/>
    </border>
    <border>
      <left style="thin">
        <color rgb="FF053D5F"/>
      </left>
      <right style="thin">
        <color rgb="FF053D5F"/>
      </right>
      <top/>
      <bottom style="thin">
        <color indexed="64"/>
      </bottom>
      <diagonal/>
    </border>
    <border>
      <left/>
      <right style="thin">
        <color indexed="64"/>
      </right>
      <top style="medium">
        <color indexed="64"/>
      </top>
      <bottom/>
      <diagonal/>
    </border>
  </borders>
  <cellStyleXfs count="88">
    <xf numFmtId="0" fontId="0" fillId="0" borderId="0"/>
    <xf numFmtId="0" fontId="2" fillId="0" borderId="0" applyNumberFormat="0" applyFill="0" applyBorder="0" applyAlignment="0" applyProtection="0"/>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2" applyNumberFormat="0" applyAlignment="0" applyProtection="0"/>
    <xf numFmtId="0" fontId="8"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9" fillId="0" borderId="0" applyNumberFormat="0" applyFill="0" applyBorder="0" applyAlignment="0" applyProtection="0"/>
    <xf numFmtId="0" fontId="12" fillId="0" borderId="0"/>
    <xf numFmtId="0" fontId="13" fillId="32" borderId="17" applyNumberFormat="0" applyAlignment="0" applyProtection="0"/>
    <xf numFmtId="0" fontId="15" fillId="33" borderId="18" applyNumberFormat="0" applyProtection="0">
      <alignment vertical="center"/>
    </xf>
    <xf numFmtId="43" fontId="12" fillId="0" borderId="0" applyFont="0" applyFill="0" applyBorder="0" applyAlignment="0" applyProtection="0"/>
    <xf numFmtId="43" fontId="12" fillId="0" borderId="0" applyFon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4" fillId="0" borderId="0" applyNumberFormat="0" applyFill="0" applyBorder="0" applyAlignment="0" applyProtection="0">
      <alignment vertical="top"/>
      <protection locked="0"/>
    </xf>
    <xf numFmtId="0" fontId="13" fillId="34" borderId="1" applyNumberFormat="0" applyBorder="0" applyAlignment="0" applyProtection="0"/>
    <xf numFmtId="0" fontId="13" fillId="35" borderId="0">
      <alignment vertical="center"/>
    </xf>
    <xf numFmtId="0" fontId="13" fillId="36" borderId="19" applyNumberFormat="0" applyAlignment="0" applyProtection="0"/>
    <xf numFmtId="0" fontId="12" fillId="6" borderId="3" applyNumberFormat="0" applyFont="0" applyAlignment="0" applyProtection="0"/>
    <xf numFmtId="0" fontId="18" fillId="37" borderId="20" applyNumberFormat="0" applyAlignment="0" applyProtection="0"/>
    <xf numFmtId="9" fontId="19" fillId="0" borderId="0" applyFont="0" applyFill="0" applyBorder="0" applyAlignment="0" applyProtection="0"/>
    <xf numFmtId="0" fontId="13" fillId="38" borderId="21" applyNumberFormat="0" applyProtection="0">
      <alignment vertical="center"/>
    </xf>
    <xf numFmtId="0" fontId="18" fillId="39" borderId="0" applyNumberFormat="0" applyBorder="0" applyAlignment="0" applyProtection="0"/>
    <xf numFmtId="43" fontId="1" fillId="0" borderId="0" applyFont="0" applyFill="0" applyBorder="0" applyAlignment="0" applyProtection="0"/>
    <xf numFmtId="43" fontId="12" fillId="0" borderId="0" applyFont="0" applyFill="0" applyBorder="0" applyAlignment="0" applyProtection="0"/>
    <xf numFmtId="0" fontId="42" fillId="0" borderId="0"/>
    <xf numFmtId="43" fontId="42" fillId="0" borderId="0" applyFont="0" applyFill="0" applyBorder="0" applyAlignment="0" applyProtection="0"/>
    <xf numFmtId="0" fontId="43" fillId="0" borderId="0" applyNumberFormat="0" applyFill="0" applyBorder="0" applyAlignment="0" applyProtection="0">
      <alignment vertical="top"/>
      <protection locked="0"/>
    </xf>
    <xf numFmtId="0" fontId="13" fillId="0" borderId="0"/>
    <xf numFmtId="9" fontId="42" fillId="0" borderId="0" applyFont="0" applyFill="0" applyBorder="0" applyAlignment="0" applyProtection="0"/>
    <xf numFmtId="0" fontId="13" fillId="0" borderId="0"/>
    <xf numFmtId="0" fontId="13" fillId="0" borderId="0"/>
    <xf numFmtId="0" fontId="42" fillId="0" borderId="0"/>
    <xf numFmtId="0" fontId="42" fillId="0" borderId="0"/>
    <xf numFmtId="0" fontId="13" fillId="0" borderId="0"/>
    <xf numFmtId="178" fontId="13" fillId="0" borderId="0"/>
    <xf numFmtId="0" fontId="50" fillId="0" borderId="85" applyNumberFormat="0" applyFont="0" applyProtection="0">
      <alignment wrapText="1"/>
    </xf>
    <xf numFmtId="43" fontId="13" fillId="0" borderId="0" applyFont="0" applyFill="0" applyBorder="0" applyAlignment="0" applyProtection="0"/>
    <xf numFmtId="43" fontId="42" fillId="0" borderId="0" applyFont="0" applyFill="0" applyBorder="0" applyAlignment="0" applyProtection="0"/>
    <xf numFmtId="3" fontId="49" fillId="0" borderId="0" applyFont="0" applyFill="0" applyBorder="0" applyAlignment="0" applyProtection="0"/>
    <xf numFmtId="164" fontId="1" fillId="0" borderId="0" applyFont="0" applyFill="0" applyBorder="0" applyAlignment="0" applyProtection="0"/>
    <xf numFmtId="180" fontId="49" fillId="0" borderId="0" applyFont="0" applyFill="0" applyBorder="0" applyAlignment="0" applyProtection="0"/>
    <xf numFmtId="179" fontId="13" fillId="0" borderId="0" applyFont="0" applyFill="0" applyBorder="0" applyAlignment="0" applyProtection="0"/>
    <xf numFmtId="0" fontId="44" fillId="0" borderId="0" applyNumberFormat="0" applyFill="0" applyBorder="0" applyAlignment="0" applyProtection="0">
      <alignment vertical="top"/>
      <protection locked="0"/>
    </xf>
    <xf numFmtId="41" fontId="45" fillId="0" borderId="0" applyFont="0" applyFill="0" applyBorder="0" applyAlignment="0" applyProtection="0"/>
    <xf numFmtId="43" fontId="45" fillId="0" borderId="0" applyFont="0" applyFill="0" applyBorder="0" applyAlignment="0" applyProtection="0"/>
    <xf numFmtId="9" fontId="45" fillId="0" borderId="0" applyFont="0" applyFill="0" applyBorder="0" applyAlignment="0" applyProtection="0"/>
    <xf numFmtId="164" fontId="45" fillId="0" borderId="0" applyFont="0" applyFill="0" applyBorder="0" applyAlignment="0" applyProtection="0"/>
    <xf numFmtId="0" fontId="13" fillId="0" borderId="0"/>
    <xf numFmtId="0" fontId="1" fillId="0" borderId="0"/>
    <xf numFmtId="0" fontId="42" fillId="0" borderId="0"/>
    <xf numFmtId="0" fontId="51" fillId="0" borderId="86" applyNumberFormat="0" applyProtection="0">
      <alignment wrapText="1"/>
    </xf>
    <xf numFmtId="9" fontId="13" fillId="0" borderId="0" applyFont="0" applyFill="0" applyBorder="0" applyAlignment="0" applyProtection="0"/>
    <xf numFmtId="9" fontId="13" fillId="0" borderId="0" applyFont="0" applyFill="0" applyBorder="0" applyAlignment="0" applyProtection="0"/>
    <xf numFmtId="0" fontId="46" fillId="0" borderId="0">
      <alignment horizontal="right"/>
    </xf>
    <xf numFmtId="0" fontId="46" fillId="0" borderId="0">
      <alignment horizontal="left"/>
    </xf>
    <xf numFmtId="0" fontId="47" fillId="0" borderId="0">
      <alignment horizontal="left" vertical="top"/>
    </xf>
    <xf numFmtId="0" fontId="48" fillId="0" borderId="0">
      <alignment horizontal="left"/>
    </xf>
    <xf numFmtId="9" fontId="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82" fillId="54" borderId="0" applyBorder="0">
      <alignment horizontal="center" vertical="center"/>
    </xf>
    <xf numFmtId="0" fontId="13" fillId="54" borderId="0" applyBorder="0">
      <alignment horizontal="left" vertical="center"/>
    </xf>
    <xf numFmtId="0" fontId="83" fillId="0" borderId="0" applyBorder="0">
      <alignment horizontal="center" vertical="center"/>
    </xf>
  </cellStyleXfs>
  <cellXfs count="2040">
    <xf numFmtId="0" fontId="0" fillId="0" borderId="0" xfId="0"/>
    <xf numFmtId="0" fontId="0" fillId="0" borderId="0" xfId="0" applyAlignment="1">
      <alignment horizontal="center"/>
    </xf>
    <xf numFmtId="0" fontId="0" fillId="0" borderId="0" xfId="0" applyAlignment="1">
      <alignment horizontal="left"/>
    </xf>
    <xf numFmtId="0" fontId="0" fillId="0" borderId="0" xfId="0" applyAlignment="1">
      <alignment horizontal="left" vertical="top"/>
    </xf>
    <xf numFmtId="0" fontId="0" fillId="0" borderId="0" xfId="0" applyAlignment="1">
      <alignment wrapText="1"/>
    </xf>
    <xf numFmtId="0" fontId="9" fillId="0" borderId="0" xfId="30"/>
    <xf numFmtId="0" fontId="7" fillId="0" borderId="0" xfId="0" applyFont="1"/>
    <xf numFmtId="0" fontId="20" fillId="0" borderId="0" xfId="0" applyFont="1"/>
    <xf numFmtId="177" fontId="27" fillId="41" borderId="27" xfId="47" applyNumberFormat="1" applyFont="1" applyFill="1" applyBorder="1"/>
    <xf numFmtId="0" fontId="27" fillId="41" borderId="27" xfId="0" applyFont="1" applyFill="1" applyBorder="1"/>
    <xf numFmtId="0" fontId="27" fillId="42" borderId="37" xfId="0" applyFont="1" applyFill="1" applyBorder="1"/>
    <xf numFmtId="0" fontId="27" fillId="42" borderId="37" xfId="0" applyFont="1" applyFill="1" applyBorder="1" applyAlignment="1">
      <alignment horizontal="center"/>
    </xf>
    <xf numFmtId="14" fontId="32" fillId="41" borderId="36" xfId="0" applyNumberFormat="1" applyFont="1" applyFill="1" applyBorder="1" applyAlignment="1">
      <alignment horizontal="left" vertical="center"/>
    </xf>
    <xf numFmtId="0" fontId="28" fillId="31" borderId="28" xfId="0" applyFont="1" applyFill="1" applyBorder="1" applyAlignment="1">
      <alignment horizontal="left" vertical="center" wrapText="1"/>
    </xf>
    <xf numFmtId="0" fontId="32" fillId="41" borderId="26" xfId="0" applyFont="1" applyFill="1" applyBorder="1" applyAlignment="1">
      <alignment horizontal="left" vertical="center" wrapText="1"/>
    </xf>
    <xf numFmtId="0" fontId="31" fillId="31" borderId="28" xfId="0" applyFont="1" applyFill="1" applyBorder="1" applyAlignment="1">
      <alignment horizontal="left" vertical="center" wrapText="1"/>
    </xf>
    <xf numFmtId="0" fontId="33" fillId="41" borderId="0" xfId="0" applyFont="1" applyFill="1"/>
    <xf numFmtId="0" fontId="27" fillId="41" borderId="0" xfId="0" applyFont="1" applyFill="1"/>
    <xf numFmtId="0" fontId="10" fillId="43" borderId="23" xfId="0" applyFont="1" applyFill="1" applyBorder="1"/>
    <xf numFmtId="0" fontId="10" fillId="41" borderId="23" xfId="0" applyFont="1" applyFill="1" applyBorder="1"/>
    <xf numFmtId="0" fontId="12" fillId="0" borderId="0" xfId="31"/>
    <xf numFmtId="0" fontId="28" fillId="31" borderId="28" xfId="31" applyFont="1" applyFill="1" applyBorder="1" applyAlignment="1">
      <alignment horizontal="left" vertical="center" wrapText="1"/>
    </xf>
    <xf numFmtId="1" fontId="27" fillId="41" borderId="27" xfId="31" applyNumberFormat="1" applyFont="1" applyFill="1" applyBorder="1" applyAlignment="1">
      <alignment horizontal="center"/>
    </xf>
    <xf numFmtId="0" fontId="31" fillId="31" borderId="27" xfId="31" applyFont="1" applyFill="1" applyBorder="1" applyAlignment="1">
      <alignment horizontal="left" vertical="center" wrapText="1"/>
    </xf>
    <xf numFmtId="1" fontId="31" fillId="41" borderId="0" xfId="31" applyNumberFormat="1" applyFont="1" applyFill="1" applyAlignment="1">
      <alignment horizontal="left" vertical="center" wrapText="1"/>
    </xf>
    <xf numFmtId="0" fontId="27" fillId="41" borderId="0" xfId="31" applyFont="1" applyFill="1"/>
    <xf numFmtId="0" fontId="27" fillId="41" borderId="34" xfId="31" applyFont="1" applyFill="1" applyBorder="1" applyAlignment="1">
      <alignment horizontal="left" vertical="center" wrapText="1"/>
    </xf>
    <xf numFmtId="1" fontId="27" fillId="41" borderId="35" xfId="31" applyNumberFormat="1" applyFont="1" applyFill="1" applyBorder="1" applyAlignment="1">
      <alignment horizontal="center"/>
    </xf>
    <xf numFmtId="1" fontId="27" fillId="41" borderId="38" xfId="31" applyNumberFormat="1" applyFont="1" applyFill="1" applyBorder="1" applyAlignment="1">
      <alignment horizontal="center"/>
    </xf>
    <xf numFmtId="0" fontId="31" fillId="31" borderId="28" xfId="31" applyFont="1" applyFill="1" applyBorder="1" applyAlignment="1">
      <alignment horizontal="left" vertical="center" wrapText="1"/>
    </xf>
    <xf numFmtId="14" fontId="27" fillId="0" borderId="36" xfId="31" applyNumberFormat="1" applyFont="1" applyBorder="1" applyAlignment="1">
      <alignment horizontal="left" vertical="center"/>
    </xf>
    <xf numFmtId="0" fontId="27" fillId="41" borderId="0" xfId="31" applyFont="1" applyFill="1" applyAlignment="1">
      <alignment horizontal="left"/>
    </xf>
    <xf numFmtId="0" fontId="35" fillId="41" borderId="0" xfId="31" applyFont="1" applyFill="1" applyAlignment="1">
      <alignment horizontal="left"/>
    </xf>
    <xf numFmtId="0" fontId="36" fillId="41" borderId="0" xfId="31" applyFont="1" applyFill="1" applyAlignment="1">
      <alignment horizontal="left"/>
    </xf>
    <xf numFmtId="0" fontId="31" fillId="31" borderId="39" xfId="31" applyFont="1" applyFill="1" applyBorder="1" applyAlignment="1">
      <alignment horizontal="left" vertical="center" wrapText="1"/>
    </xf>
    <xf numFmtId="0" fontId="31" fillId="31" borderId="35" xfId="31" applyFont="1" applyFill="1" applyBorder="1" applyAlignment="1">
      <alignment horizontal="left" vertical="center"/>
    </xf>
    <xf numFmtId="0" fontId="31" fillId="31" borderId="40" xfId="31" applyFont="1" applyFill="1" applyBorder="1" applyAlignment="1">
      <alignment horizontal="left" vertical="center"/>
    </xf>
    <xf numFmtId="0" fontId="31" fillId="31" borderId="41" xfId="31" applyFont="1" applyFill="1" applyBorder="1" applyAlignment="1">
      <alignment horizontal="left" vertical="center"/>
    </xf>
    <xf numFmtId="0" fontId="31" fillId="31" borderId="35" xfId="31" applyFont="1" applyFill="1" applyBorder="1" applyAlignment="1">
      <alignment horizontal="left" vertical="center" wrapText="1"/>
    </xf>
    <xf numFmtId="2" fontId="27" fillId="41" borderId="27" xfId="31" applyNumberFormat="1" applyFont="1" applyFill="1" applyBorder="1" applyAlignment="1">
      <alignment horizontal="center"/>
    </xf>
    <xf numFmtId="2" fontId="27" fillId="41" borderId="38" xfId="31" applyNumberFormat="1" applyFont="1" applyFill="1" applyBorder="1" applyAlignment="1">
      <alignment horizontal="center"/>
    </xf>
    <xf numFmtId="0" fontId="31" fillId="31" borderId="42" xfId="31" applyFont="1" applyFill="1" applyBorder="1" applyAlignment="1">
      <alignment horizontal="left" vertical="center" wrapText="1"/>
    </xf>
    <xf numFmtId="0" fontId="31" fillId="31" borderId="37" xfId="31" applyFont="1" applyFill="1" applyBorder="1" applyAlignment="1">
      <alignment horizontal="left" vertical="center" wrapText="1"/>
    </xf>
    <xf numFmtId="2" fontId="27" fillId="41" borderId="35" xfId="31" applyNumberFormat="1" applyFont="1" applyFill="1" applyBorder="1" applyAlignment="1">
      <alignment horizontal="center"/>
    </xf>
    <xf numFmtId="0" fontId="31" fillId="41" borderId="0" xfId="31" applyFont="1" applyFill="1" applyAlignment="1">
      <alignment horizontal="left" vertical="center" wrapText="1"/>
    </xf>
    <xf numFmtId="2" fontId="27" fillId="41" borderId="0" xfId="31" applyNumberFormat="1" applyFont="1" applyFill="1" applyAlignment="1">
      <alignment horizontal="center"/>
    </xf>
    <xf numFmtId="165" fontId="27" fillId="41" borderId="0" xfId="31" applyNumberFormat="1" applyFont="1" applyFill="1" applyAlignment="1">
      <alignment horizontal="center"/>
    </xf>
    <xf numFmtId="1" fontId="27" fillId="41" borderId="0" xfId="31" applyNumberFormat="1" applyFont="1" applyFill="1" applyAlignment="1">
      <alignment horizontal="center"/>
    </xf>
    <xf numFmtId="2" fontId="27" fillId="44" borderId="38" xfId="35" applyNumberFormat="1" applyFont="1" applyFill="1" applyBorder="1" applyAlignment="1"/>
    <xf numFmtId="2" fontId="27" fillId="41" borderId="43" xfId="35" applyNumberFormat="1" applyFont="1" applyFill="1" applyBorder="1" applyAlignment="1">
      <alignment horizontal="center"/>
    </xf>
    <xf numFmtId="177" fontId="31" fillId="31" borderId="35" xfId="35" applyNumberFormat="1" applyFont="1" applyFill="1" applyBorder="1" applyAlignment="1">
      <alignment horizontal="left" vertical="center"/>
    </xf>
    <xf numFmtId="3" fontId="27" fillId="44" borderId="38" xfId="35" applyNumberFormat="1" applyFont="1" applyFill="1" applyBorder="1" applyAlignment="1">
      <alignment horizontal="center" vertical="center"/>
    </xf>
    <xf numFmtId="3" fontId="27" fillId="41" borderId="43" xfId="35" applyNumberFormat="1" applyFont="1" applyFill="1" applyBorder="1" applyAlignment="1">
      <alignment horizontal="center" vertical="center"/>
    </xf>
    <xf numFmtId="2" fontId="31" fillId="31" borderId="35" xfId="31" applyNumberFormat="1" applyFont="1" applyFill="1" applyBorder="1" applyAlignment="1">
      <alignment horizontal="left" vertical="center"/>
    </xf>
    <xf numFmtId="167" fontId="27" fillId="41" borderId="43" xfId="35" applyNumberFormat="1" applyFont="1" applyFill="1" applyBorder="1" applyAlignment="1">
      <alignment horizontal="center"/>
    </xf>
    <xf numFmtId="3" fontId="27" fillId="44" borderId="41" xfId="35" applyNumberFormat="1" applyFont="1" applyFill="1" applyBorder="1" applyAlignment="1">
      <alignment horizontal="center" vertical="center"/>
    </xf>
    <xf numFmtId="2" fontId="27" fillId="44" borderId="35" xfId="31" applyNumberFormat="1" applyFont="1" applyFill="1" applyBorder="1" applyAlignment="1">
      <alignment horizontal="center"/>
    </xf>
    <xf numFmtId="4" fontId="27" fillId="41" borderId="38" xfId="35" applyNumberFormat="1" applyFont="1" applyFill="1" applyBorder="1" applyAlignment="1">
      <alignment horizontal="center"/>
    </xf>
    <xf numFmtId="2" fontId="27" fillId="44" borderId="38" xfId="35" applyNumberFormat="1" applyFont="1" applyFill="1" applyBorder="1"/>
    <xf numFmtId="2" fontId="27" fillId="44" borderId="41" xfId="35" applyNumberFormat="1" applyFont="1" applyFill="1" applyBorder="1"/>
    <xf numFmtId="0" fontId="27" fillId="41" borderId="38" xfId="0" applyFont="1" applyFill="1" applyBorder="1"/>
    <xf numFmtId="177" fontId="27" fillId="41" borderId="38" xfId="47" applyNumberFormat="1" applyFont="1" applyFill="1" applyBorder="1"/>
    <xf numFmtId="0" fontId="27" fillId="41" borderId="35" xfId="0" applyFont="1" applyFill="1" applyBorder="1"/>
    <xf numFmtId="177" fontId="27" fillId="41" borderId="35" xfId="47" applyNumberFormat="1" applyFont="1" applyFill="1" applyBorder="1"/>
    <xf numFmtId="0" fontId="27" fillId="41" borderId="0" xfId="0" applyFont="1" applyFill="1" applyAlignment="1">
      <alignment horizontal="center" textRotation="90" wrapText="1"/>
    </xf>
    <xf numFmtId="0" fontId="30" fillId="41" borderId="22" xfId="0" applyFont="1" applyFill="1" applyBorder="1"/>
    <xf numFmtId="167" fontId="27" fillId="44" borderId="28" xfId="0" applyNumberFormat="1" applyFont="1" applyFill="1" applyBorder="1" applyAlignment="1">
      <alignment vertical="center"/>
    </xf>
    <xf numFmtId="4" fontId="27" fillId="41" borderId="26" xfId="0" applyNumberFormat="1" applyFont="1" applyFill="1" applyBorder="1" applyAlignment="1">
      <alignment horizontal="center"/>
    </xf>
    <xf numFmtId="169" fontId="27" fillId="41" borderId="26" xfId="0" applyNumberFormat="1" applyFont="1" applyFill="1" applyBorder="1" applyAlignment="1">
      <alignment horizontal="center"/>
    </xf>
    <xf numFmtId="3" fontId="27" fillId="41" borderId="36" xfId="0" applyNumberFormat="1" applyFont="1" applyFill="1" applyBorder="1" applyAlignment="1">
      <alignment horizontal="center"/>
    </xf>
    <xf numFmtId="170" fontId="27" fillId="41" borderId="32" xfId="0" applyNumberFormat="1" applyFont="1" applyFill="1" applyBorder="1" applyAlignment="1">
      <alignment horizontal="center"/>
    </xf>
    <xf numFmtId="167" fontId="27" fillId="44" borderId="30" xfId="0" applyNumberFormat="1" applyFont="1" applyFill="1" applyBorder="1" applyAlignment="1">
      <alignment vertical="center"/>
    </xf>
    <xf numFmtId="169" fontId="27" fillId="41" borderId="30" xfId="0" applyNumberFormat="1" applyFont="1" applyFill="1" applyBorder="1" applyAlignment="1">
      <alignment horizontal="center"/>
    </xf>
    <xf numFmtId="4" fontId="27" fillId="41" borderId="25" xfId="0" applyNumberFormat="1" applyFont="1" applyFill="1" applyBorder="1" applyAlignment="1">
      <alignment horizontal="center"/>
    </xf>
    <xf numFmtId="169" fontId="27" fillId="41" borderId="32" xfId="0" applyNumberFormat="1" applyFont="1" applyFill="1" applyBorder="1" applyAlignment="1">
      <alignment horizontal="center"/>
    </xf>
    <xf numFmtId="171" fontId="27" fillId="41" borderId="30" xfId="0" applyNumberFormat="1" applyFont="1" applyFill="1" applyBorder="1" applyAlignment="1">
      <alignment horizontal="center"/>
    </xf>
    <xf numFmtId="3" fontId="27" fillId="41" borderId="25" xfId="0" applyNumberFormat="1" applyFont="1" applyFill="1" applyBorder="1" applyAlignment="1">
      <alignment horizontal="center"/>
    </xf>
    <xf numFmtId="171" fontId="27" fillId="41" borderId="32" xfId="0" applyNumberFormat="1" applyFont="1" applyFill="1" applyBorder="1" applyAlignment="1">
      <alignment horizontal="center"/>
    </xf>
    <xf numFmtId="3" fontId="27" fillId="41" borderId="30" xfId="0" applyNumberFormat="1" applyFont="1" applyFill="1" applyBorder="1" applyAlignment="1">
      <alignment horizontal="center"/>
    </xf>
    <xf numFmtId="4" fontId="27" fillId="41" borderId="30" xfId="0" applyNumberFormat="1" applyFont="1" applyFill="1" applyBorder="1" applyAlignment="1">
      <alignment horizontal="center"/>
    </xf>
    <xf numFmtId="172" fontId="27" fillId="41" borderId="31" xfId="0" applyNumberFormat="1" applyFont="1" applyFill="1" applyBorder="1" applyAlignment="1">
      <alignment horizontal="center"/>
    </xf>
    <xf numFmtId="173" fontId="27" fillId="41" borderId="29" xfId="0" applyNumberFormat="1" applyFont="1" applyFill="1" applyBorder="1" applyAlignment="1">
      <alignment horizontal="center"/>
    </xf>
    <xf numFmtId="172" fontId="27" fillId="41" borderId="29" xfId="0" applyNumberFormat="1" applyFont="1" applyFill="1" applyBorder="1" applyAlignment="1">
      <alignment horizontal="center"/>
    </xf>
    <xf numFmtId="167" fontId="27" fillId="44" borderId="33" xfId="0" applyNumberFormat="1" applyFont="1" applyFill="1" applyBorder="1" applyAlignment="1">
      <alignment vertical="center"/>
    </xf>
    <xf numFmtId="166" fontId="27" fillId="41" borderId="26" xfId="0" applyNumberFormat="1" applyFont="1" applyFill="1" applyBorder="1" applyAlignment="1">
      <alignment horizontal="center"/>
    </xf>
    <xf numFmtId="168" fontId="27" fillId="41" borderId="26" xfId="0" applyNumberFormat="1" applyFont="1" applyFill="1" applyBorder="1" applyAlignment="1">
      <alignment horizontal="center"/>
    </xf>
    <xf numFmtId="174" fontId="27" fillId="41" borderId="36" xfId="0" applyNumberFormat="1" applyFont="1" applyFill="1" applyBorder="1" applyAlignment="1">
      <alignment horizontal="center"/>
    </xf>
    <xf numFmtId="1" fontId="27" fillId="41" borderId="32" xfId="0" applyNumberFormat="1" applyFont="1" applyFill="1" applyBorder="1" applyAlignment="1">
      <alignment horizontal="center"/>
    </xf>
    <xf numFmtId="166" fontId="27" fillId="41" borderId="30" xfId="0" applyNumberFormat="1" applyFont="1" applyFill="1" applyBorder="1" applyAlignment="1">
      <alignment horizontal="center"/>
    </xf>
    <xf numFmtId="2" fontId="27" fillId="41" borderId="30" xfId="0" applyNumberFormat="1" applyFont="1" applyFill="1" applyBorder="1" applyAlignment="1">
      <alignment horizontal="center"/>
    </xf>
    <xf numFmtId="167" fontId="27" fillId="41" borderId="25" xfId="0" applyNumberFormat="1" applyFont="1" applyFill="1" applyBorder="1" applyAlignment="1">
      <alignment horizontal="center"/>
    </xf>
    <xf numFmtId="166" fontId="27" fillId="41" borderId="32" xfId="0" applyNumberFormat="1" applyFont="1" applyFill="1" applyBorder="1" applyAlignment="1">
      <alignment horizontal="center"/>
    </xf>
    <xf numFmtId="168" fontId="27" fillId="41" borderId="30" xfId="0" applyNumberFormat="1" applyFont="1" applyFill="1" applyBorder="1" applyAlignment="1">
      <alignment horizontal="center"/>
    </xf>
    <xf numFmtId="167" fontId="27" fillId="41" borderId="30" xfId="0" applyNumberFormat="1" applyFont="1" applyFill="1" applyBorder="1" applyAlignment="1">
      <alignment horizontal="center"/>
    </xf>
    <xf numFmtId="168" fontId="27" fillId="41" borderId="25" xfId="0" applyNumberFormat="1" applyFont="1" applyFill="1" applyBorder="1" applyAlignment="1">
      <alignment horizontal="center"/>
    </xf>
    <xf numFmtId="167" fontId="27" fillId="41" borderId="32" xfId="0" applyNumberFormat="1" applyFont="1" applyFill="1" applyBorder="1" applyAlignment="1">
      <alignment horizontal="center"/>
    </xf>
    <xf numFmtId="175" fontId="27" fillId="41" borderId="25" xfId="0" applyNumberFormat="1" applyFont="1" applyFill="1" applyBorder="1" applyAlignment="1">
      <alignment horizontal="center"/>
    </xf>
    <xf numFmtId="174" fontId="27" fillId="41" borderId="30" xfId="0" applyNumberFormat="1" applyFont="1" applyFill="1" applyBorder="1" applyAlignment="1">
      <alignment horizontal="center"/>
    </xf>
    <xf numFmtId="2" fontId="27" fillId="41" borderId="31" xfId="0" applyNumberFormat="1" applyFont="1" applyFill="1" applyBorder="1" applyAlignment="1">
      <alignment horizontal="center"/>
    </xf>
    <xf numFmtId="168" fontId="27" fillId="41" borderId="29" xfId="0" applyNumberFormat="1" applyFont="1" applyFill="1" applyBorder="1" applyAlignment="1">
      <alignment horizontal="center"/>
    </xf>
    <xf numFmtId="167" fontId="27" fillId="41" borderId="29" xfId="0" applyNumberFormat="1" applyFont="1" applyFill="1" applyBorder="1" applyAlignment="1">
      <alignment horizontal="center"/>
    </xf>
    <xf numFmtId="166" fontId="27" fillId="41" borderId="29" xfId="0" applyNumberFormat="1" applyFont="1" applyFill="1" applyBorder="1" applyAlignment="1">
      <alignment horizontal="center"/>
    </xf>
    <xf numFmtId="1" fontId="27" fillId="41" borderId="29" xfId="0" applyNumberFormat="1" applyFont="1" applyFill="1" applyBorder="1" applyAlignment="1">
      <alignment horizontal="center"/>
    </xf>
    <xf numFmtId="0" fontId="31" fillId="41" borderId="22" xfId="0" applyFont="1" applyFill="1" applyBorder="1" applyAlignment="1">
      <alignment horizontal="center"/>
    </xf>
    <xf numFmtId="168" fontId="27" fillId="41" borderId="36" xfId="0" applyNumberFormat="1" applyFont="1" applyFill="1" applyBorder="1" applyAlignment="1">
      <alignment horizontal="center"/>
    </xf>
    <xf numFmtId="168" fontId="27" fillId="41" borderId="32" xfId="0" applyNumberFormat="1" applyFont="1" applyFill="1" applyBorder="1" applyAlignment="1">
      <alignment horizontal="center"/>
    </xf>
    <xf numFmtId="1" fontId="27" fillId="41" borderId="25" xfId="0" applyNumberFormat="1" applyFont="1" applyFill="1" applyBorder="1" applyAlignment="1">
      <alignment horizontal="center"/>
    </xf>
    <xf numFmtId="2" fontId="27" fillId="41" borderId="32" xfId="0" applyNumberFormat="1" applyFont="1" applyFill="1" applyBorder="1" applyAlignment="1">
      <alignment horizontal="center"/>
    </xf>
    <xf numFmtId="168" fontId="27" fillId="41" borderId="31" xfId="0" applyNumberFormat="1" applyFont="1" applyFill="1" applyBorder="1" applyAlignment="1">
      <alignment horizontal="center"/>
    </xf>
    <xf numFmtId="176" fontId="27" fillId="41" borderId="29" xfId="0" applyNumberFormat="1" applyFont="1" applyFill="1" applyBorder="1" applyAlignment="1">
      <alignment horizontal="center"/>
    </xf>
    <xf numFmtId="167" fontId="27" fillId="41" borderId="26" xfId="0" applyNumberFormat="1" applyFont="1" applyFill="1" applyBorder="1" applyAlignment="1">
      <alignment horizontal="center"/>
    </xf>
    <xf numFmtId="176" fontId="27" fillId="41" borderId="26" xfId="0" applyNumberFormat="1" applyFont="1" applyFill="1" applyBorder="1" applyAlignment="1">
      <alignment horizontal="center"/>
    </xf>
    <xf numFmtId="0" fontId="27" fillId="41" borderId="26" xfId="0" applyFont="1" applyFill="1" applyBorder="1" applyAlignment="1">
      <alignment horizontal="center"/>
    </xf>
    <xf numFmtId="176" fontId="27" fillId="41" borderId="36" xfId="0" applyNumberFormat="1" applyFont="1" applyFill="1" applyBorder="1" applyAlignment="1">
      <alignment horizontal="center"/>
    </xf>
    <xf numFmtId="176" fontId="27" fillId="41" borderId="25" xfId="0" applyNumberFormat="1" applyFont="1" applyFill="1" applyBorder="1" applyAlignment="1">
      <alignment horizontal="center"/>
    </xf>
    <xf numFmtId="1" fontId="27" fillId="41" borderId="30" xfId="0" applyNumberFormat="1" applyFont="1" applyFill="1" applyBorder="1" applyAlignment="1">
      <alignment horizontal="center"/>
    </xf>
    <xf numFmtId="165" fontId="27" fillId="41" borderId="30" xfId="0" applyNumberFormat="1" applyFont="1" applyFill="1" applyBorder="1" applyAlignment="1">
      <alignment horizontal="center"/>
    </xf>
    <xf numFmtId="1" fontId="27" fillId="41" borderId="31" xfId="0" applyNumberFormat="1" applyFont="1" applyFill="1" applyBorder="1" applyAlignment="1">
      <alignment horizontal="center"/>
    </xf>
    <xf numFmtId="165" fontId="27" fillId="41" borderId="29" xfId="0" applyNumberFormat="1" applyFont="1" applyFill="1" applyBorder="1" applyAlignment="1">
      <alignment horizontal="center"/>
    </xf>
    <xf numFmtId="0" fontId="27" fillId="41" borderId="0" xfId="0" applyFont="1" applyFill="1" applyAlignment="1">
      <alignment horizontal="center"/>
    </xf>
    <xf numFmtId="1" fontId="27" fillId="41" borderId="26" xfId="0" applyNumberFormat="1" applyFont="1" applyFill="1" applyBorder="1" applyAlignment="1">
      <alignment horizontal="center"/>
    </xf>
    <xf numFmtId="0" fontId="0" fillId="45" borderId="4" xfId="0" applyFill="1" applyBorder="1"/>
    <xf numFmtId="0" fontId="52" fillId="0" borderId="30" xfId="0" applyFont="1" applyBorder="1"/>
    <xf numFmtId="0" fontId="52" fillId="42" borderId="30" xfId="0" applyFont="1" applyFill="1" applyBorder="1"/>
    <xf numFmtId="0" fontId="52" fillId="42" borderId="30" xfId="0" applyFont="1" applyFill="1" applyBorder="1" applyAlignment="1">
      <alignment horizontal="left"/>
    </xf>
    <xf numFmtId="181" fontId="52" fillId="0" borderId="30" xfId="0" applyNumberFormat="1" applyFont="1" applyBorder="1" applyAlignment="1">
      <alignment horizontal="center"/>
    </xf>
    <xf numFmtId="182" fontId="52" fillId="0" borderId="30" xfId="0" applyNumberFormat="1" applyFont="1" applyBorder="1" applyAlignment="1">
      <alignment horizontal="center"/>
    </xf>
    <xf numFmtId="182" fontId="52" fillId="0" borderId="30" xfId="0" applyNumberFormat="1" applyFont="1" applyBorder="1" applyAlignment="1">
      <alignment horizontal="center" vertical="center"/>
    </xf>
    <xf numFmtId="0" fontId="52" fillId="41" borderId="0" xfId="0" applyFont="1" applyFill="1"/>
    <xf numFmtId="0" fontId="52" fillId="41" borderId="0" xfId="0" applyFont="1" applyFill="1" applyAlignment="1">
      <alignment horizontal="center"/>
    </xf>
    <xf numFmtId="0" fontId="52" fillId="42" borderId="30" xfId="0" applyFont="1" applyFill="1" applyBorder="1" applyAlignment="1">
      <alignment horizontal="center"/>
    </xf>
    <xf numFmtId="4" fontId="52" fillId="0" borderId="30" xfId="0" applyNumberFormat="1" applyFont="1" applyBorder="1" applyAlignment="1">
      <alignment horizontal="center"/>
    </xf>
    <xf numFmtId="0" fontId="52" fillId="46" borderId="30" xfId="0" applyFont="1" applyFill="1" applyBorder="1" applyAlignment="1">
      <alignment horizontal="center"/>
    </xf>
    <xf numFmtId="0" fontId="52" fillId="42" borderId="87" xfId="0" applyFont="1" applyFill="1" applyBorder="1"/>
    <xf numFmtId="182" fontId="52" fillId="0" borderId="87" xfId="0" applyNumberFormat="1" applyFont="1" applyBorder="1" applyAlignment="1">
      <alignment horizontal="center"/>
    </xf>
    <xf numFmtId="0" fontId="52" fillId="42" borderId="91" xfId="0" applyFont="1" applyFill="1" applyBorder="1"/>
    <xf numFmtId="4" fontId="52" fillId="0" borderId="92" xfId="0" applyNumberFormat="1" applyFont="1" applyBorder="1" applyAlignment="1">
      <alignment horizontal="center"/>
    </xf>
    <xf numFmtId="4" fontId="52" fillId="0" borderId="93" xfId="0" applyNumberFormat="1" applyFont="1" applyBorder="1" applyAlignment="1">
      <alignment horizontal="center"/>
    </xf>
    <xf numFmtId="0" fontId="52" fillId="42" borderId="95" xfId="0" applyFont="1" applyFill="1" applyBorder="1"/>
    <xf numFmtId="182" fontId="52" fillId="0" borderId="96" xfId="0" applyNumberFormat="1" applyFont="1" applyBorder="1" applyAlignment="1">
      <alignment horizontal="center"/>
    </xf>
    <xf numFmtId="0" fontId="52" fillId="42" borderId="98" xfId="0" applyFont="1" applyFill="1" applyBorder="1"/>
    <xf numFmtId="182" fontId="52" fillId="0" borderId="99" xfId="0" applyNumberFormat="1" applyFont="1" applyBorder="1" applyAlignment="1">
      <alignment horizontal="center"/>
    </xf>
    <xf numFmtId="182" fontId="52" fillId="0" borderId="100" xfId="0" applyNumberFormat="1" applyFont="1" applyBorder="1" applyAlignment="1">
      <alignment horizontal="center"/>
    </xf>
    <xf numFmtId="0" fontId="52" fillId="42" borderId="89" xfId="0" applyFont="1" applyFill="1" applyBorder="1"/>
    <xf numFmtId="4" fontId="52" fillId="0" borderId="89" xfId="0" applyNumberFormat="1" applyFont="1" applyBorder="1" applyAlignment="1">
      <alignment horizontal="center"/>
    </xf>
    <xf numFmtId="0" fontId="32" fillId="41" borderId="36" xfId="0" applyFont="1" applyFill="1" applyBorder="1" applyAlignment="1">
      <alignment horizontal="left" vertical="center" wrapText="1"/>
    </xf>
    <xf numFmtId="0" fontId="28" fillId="31" borderId="28" xfId="0" applyFont="1" applyFill="1" applyBorder="1" applyAlignment="1">
      <alignment horizontal="left" vertical="center"/>
    </xf>
    <xf numFmtId="0" fontId="52" fillId="0" borderId="30" xfId="0" applyFont="1" applyBorder="1" applyAlignment="1">
      <alignment horizontal="left" wrapText="1"/>
    </xf>
    <xf numFmtId="0" fontId="52" fillId="46" borderId="87" xfId="0" applyFont="1" applyFill="1" applyBorder="1" applyAlignment="1">
      <alignment horizontal="center"/>
    </xf>
    <xf numFmtId="0" fontId="52" fillId="41" borderId="0" xfId="0" applyFont="1" applyFill="1" applyAlignment="1">
      <alignment horizontal="left" wrapText="1"/>
    </xf>
    <xf numFmtId="0" fontId="52" fillId="42" borderId="30" xfId="0" applyFont="1" applyFill="1" applyBorder="1" applyAlignment="1">
      <alignment horizontal="left" vertical="center" wrapText="1"/>
    </xf>
    <xf numFmtId="0" fontId="52" fillId="42" borderId="30" xfId="0" applyFont="1" applyFill="1" applyBorder="1" applyAlignment="1">
      <alignment vertical="center"/>
    </xf>
    <xf numFmtId="0" fontId="52" fillId="42" borderId="30" xfId="0" applyFont="1" applyFill="1" applyBorder="1" applyAlignment="1">
      <alignment vertical="center" wrapText="1"/>
    </xf>
    <xf numFmtId="0" fontId="28" fillId="31" borderId="28" xfId="0" applyFont="1" applyFill="1" applyBorder="1" applyAlignment="1">
      <alignment vertical="center" wrapText="1"/>
    </xf>
    <xf numFmtId="14" fontId="32" fillId="41" borderId="36" xfId="0" applyNumberFormat="1" applyFont="1" applyFill="1" applyBorder="1" applyAlignment="1">
      <alignment vertical="center" wrapText="1"/>
    </xf>
    <xf numFmtId="0" fontId="28" fillId="31" borderId="31" xfId="0" applyFont="1" applyFill="1" applyBorder="1" applyAlignment="1">
      <alignment vertical="center" wrapText="1"/>
    </xf>
    <xf numFmtId="165" fontId="32" fillId="41" borderId="33" xfId="0" applyNumberFormat="1" applyFont="1" applyFill="1" applyBorder="1" applyAlignment="1">
      <alignment vertical="center" wrapText="1"/>
    </xf>
    <xf numFmtId="165" fontId="32" fillId="41" borderId="33" xfId="0" applyNumberFormat="1" applyFont="1" applyFill="1" applyBorder="1" applyAlignment="1">
      <alignment horizontal="left" vertical="center"/>
    </xf>
    <xf numFmtId="0" fontId="0" fillId="31" borderId="4" xfId="0" applyFill="1" applyBorder="1"/>
    <xf numFmtId="0" fontId="20" fillId="31" borderId="4" xfId="0" applyFont="1" applyFill="1" applyBorder="1"/>
    <xf numFmtId="182" fontId="0" fillId="31" borderId="4" xfId="0" applyNumberFormat="1" applyFill="1" applyBorder="1"/>
    <xf numFmtId="0" fontId="20" fillId="31" borderId="4" xfId="31" applyFont="1" applyFill="1" applyBorder="1"/>
    <xf numFmtId="0" fontId="27" fillId="0" borderId="0" xfId="31" applyFont="1"/>
    <xf numFmtId="0" fontId="0" fillId="31" borderId="13" xfId="0" applyFill="1" applyBorder="1"/>
    <xf numFmtId="0" fontId="20" fillId="31" borderId="13" xfId="0" applyFont="1" applyFill="1" applyBorder="1"/>
    <xf numFmtId="0" fontId="0" fillId="48" borderId="4" xfId="0" applyFill="1" applyBorder="1"/>
    <xf numFmtId="0" fontId="0" fillId="47" borderId="13" xfId="0" applyFill="1" applyBorder="1"/>
    <xf numFmtId="0" fontId="0" fillId="47" borderId="4" xfId="0" applyFill="1" applyBorder="1" applyAlignment="1">
      <alignment horizontal="left"/>
    </xf>
    <xf numFmtId="0" fontId="0" fillId="47" borderId="4" xfId="0" applyFill="1" applyBorder="1"/>
    <xf numFmtId="0" fontId="0" fillId="31" borderId="57" xfId="0" applyFill="1" applyBorder="1"/>
    <xf numFmtId="0" fontId="7" fillId="49" borderId="5" xfId="0" applyFont="1" applyFill="1" applyBorder="1"/>
    <xf numFmtId="0" fontId="7" fillId="49" borderId="6" xfId="0" applyFont="1" applyFill="1" applyBorder="1" applyAlignment="1">
      <alignment wrapText="1"/>
    </xf>
    <xf numFmtId="0" fontId="7" fillId="49" borderId="6" xfId="0" applyFont="1" applyFill="1" applyBorder="1"/>
    <xf numFmtId="0" fontId="7" fillId="49" borderId="7" xfId="0" applyFont="1" applyFill="1" applyBorder="1"/>
    <xf numFmtId="0" fontId="0" fillId="31" borderId="14" xfId="0" applyFill="1" applyBorder="1" applyAlignment="1">
      <alignment wrapText="1"/>
    </xf>
    <xf numFmtId="0" fontId="0" fillId="49" borderId="105" xfId="0" applyFill="1" applyBorder="1"/>
    <xf numFmtId="0" fontId="0" fillId="49" borderId="106" xfId="0" applyFill="1" applyBorder="1"/>
    <xf numFmtId="0" fontId="0" fillId="49" borderId="107" xfId="0" applyFill="1" applyBorder="1"/>
    <xf numFmtId="0" fontId="7" fillId="31" borderId="10" xfId="0" applyFont="1" applyFill="1" applyBorder="1"/>
    <xf numFmtId="0" fontId="0" fillId="48" borderId="4" xfId="0" applyFill="1" applyBorder="1" applyAlignment="1">
      <alignment wrapText="1"/>
    </xf>
    <xf numFmtId="0" fontId="0" fillId="48" borderId="11" xfId="0" applyFill="1" applyBorder="1" applyAlignment="1">
      <alignment wrapText="1"/>
    </xf>
    <xf numFmtId="0" fontId="0" fillId="48" borderId="9" xfId="0" applyFill="1" applyBorder="1"/>
    <xf numFmtId="0" fontId="0" fillId="48" borderId="11" xfId="0" applyFill="1" applyBorder="1"/>
    <xf numFmtId="2" fontId="0" fillId="48" borderId="4" xfId="0" applyNumberFormat="1" applyFill="1" applyBorder="1"/>
    <xf numFmtId="2" fontId="0" fillId="48" borderId="11" xfId="0" applyNumberFormat="1" applyFill="1" applyBorder="1"/>
    <xf numFmtId="0" fontId="0" fillId="48" borderId="12" xfId="0" applyFill="1" applyBorder="1"/>
    <xf numFmtId="0" fontId="0" fillId="47" borderId="4" xfId="0" applyFill="1" applyBorder="1" applyAlignment="1">
      <alignment wrapText="1"/>
    </xf>
    <xf numFmtId="0" fontId="0" fillId="47" borderId="11" xfId="0" applyFill="1" applyBorder="1"/>
    <xf numFmtId="0" fontId="0" fillId="47" borderId="11" xfId="0" applyFill="1" applyBorder="1" applyAlignment="1">
      <alignment wrapText="1"/>
    </xf>
    <xf numFmtId="0" fontId="7" fillId="31" borderId="69" xfId="0" applyFont="1" applyFill="1" applyBorder="1"/>
    <xf numFmtId="0" fontId="7" fillId="31" borderId="71" xfId="0" applyFont="1" applyFill="1" applyBorder="1" applyAlignment="1">
      <alignment wrapText="1"/>
    </xf>
    <xf numFmtId="0" fontId="7" fillId="31" borderId="11" xfId="0" applyFont="1" applyFill="1" applyBorder="1" applyAlignment="1">
      <alignment wrapText="1"/>
    </xf>
    <xf numFmtId="0" fontId="7" fillId="31" borderId="11" xfId="0" applyFont="1" applyFill="1" applyBorder="1"/>
    <xf numFmtId="0" fontId="7" fillId="31" borderId="71" xfId="0" applyFont="1" applyFill="1" applyBorder="1"/>
    <xf numFmtId="0" fontId="7" fillId="31" borderId="76" xfId="0" applyFont="1" applyFill="1" applyBorder="1"/>
    <xf numFmtId="0" fontId="0" fillId="48" borderId="9" xfId="0" applyFill="1" applyBorder="1" applyAlignment="1">
      <alignment wrapText="1"/>
    </xf>
    <xf numFmtId="0" fontId="0" fillId="48" borderId="12" xfId="0" applyFill="1" applyBorder="1" applyAlignment="1">
      <alignment wrapText="1"/>
    </xf>
    <xf numFmtId="0" fontId="0" fillId="47" borderId="6" xfId="0" applyFill="1" applyBorder="1" applyAlignment="1">
      <alignment wrapText="1"/>
    </xf>
    <xf numFmtId="0" fontId="0" fillId="47" borderId="13" xfId="0" applyFill="1" applyBorder="1" applyAlignment="1">
      <alignment wrapText="1"/>
    </xf>
    <xf numFmtId="0" fontId="0" fillId="47" borderId="6" xfId="0" applyFill="1" applyBorder="1"/>
    <xf numFmtId="0" fontId="0" fillId="47" borderId="57" xfId="0" applyFill="1" applyBorder="1" applyAlignment="1">
      <alignment wrapText="1"/>
    </xf>
    <xf numFmtId="0" fontId="0" fillId="47" borderId="70" xfId="0" applyFill="1" applyBorder="1" applyAlignment="1">
      <alignment wrapText="1"/>
    </xf>
    <xf numFmtId="2" fontId="0" fillId="48" borderId="13" xfId="0" applyNumberFormat="1" applyFill="1" applyBorder="1"/>
    <xf numFmtId="0" fontId="0" fillId="48" borderId="61" xfId="0" applyFill="1" applyBorder="1"/>
    <xf numFmtId="0" fontId="0" fillId="48" borderId="6" xfId="0" applyFill="1" applyBorder="1"/>
    <xf numFmtId="0" fontId="0" fillId="48" borderId="7" xfId="0" applyFill="1" applyBorder="1"/>
    <xf numFmtId="0" fontId="0" fillId="48" borderId="59" xfId="0" applyFill="1" applyBorder="1"/>
    <xf numFmtId="0" fontId="0" fillId="48" borderId="58" xfId="0" applyFill="1" applyBorder="1"/>
    <xf numFmtId="0" fontId="0" fillId="48" borderId="63" xfId="0" applyFill="1" applyBorder="1"/>
    <xf numFmtId="0" fontId="0" fillId="47" borderId="7" xfId="0" applyFill="1" applyBorder="1" applyAlignment="1">
      <alignment wrapText="1"/>
    </xf>
    <xf numFmtId="0" fontId="0" fillId="48" borderId="57" xfId="0" applyFill="1" applyBorder="1" applyAlignment="1">
      <alignment wrapText="1"/>
    </xf>
    <xf numFmtId="0" fontId="0" fillId="48" borderId="70" xfId="0" applyFill="1" applyBorder="1" applyAlignment="1">
      <alignment wrapText="1"/>
    </xf>
    <xf numFmtId="0" fontId="0" fillId="47" borderId="9" xfId="0" applyFill="1" applyBorder="1" applyAlignment="1">
      <alignment wrapText="1"/>
    </xf>
    <xf numFmtId="0" fontId="0" fillId="47" borderId="12" xfId="0" applyFill="1" applyBorder="1" applyAlignment="1">
      <alignment wrapText="1"/>
    </xf>
    <xf numFmtId="0" fontId="0" fillId="0" borderId="0" xfId="0" applyAlignment="1">
      <alignment horizontal="center" vertical="center"/>
    </xf>
    <xf numFmtId="0" fontId="41" fillId="0" borderId="0" xfId="0" applyFont="1" applyAlignment="1">
      <alignment horizontal="center" vertical="center" wrapText="1"/>
    </xf>
    <xf numFmtId="0" fontId="0" fillId="48" borderId="5" xfId="0" applyFill="1" applyBorder="1"/>
    <xf numFmtId="0" fontId="0" fillId="48" borderId="8" xfId="0" applyFill="1" applyBorder="1"/>
    <xf numFmtId="0" fontId="0" fillId="48" borderId="10" xfId="0" applyFill="1" applyBorder="1"/>
    <xf numFmtId="0" fontId="9" fillId="0" borderId="0" xfId="30" applyFill="1"/>
    <xf numFmtId="14" fontId="32" fillId="41" borderId="36" xfId="0" applyNumberFormat="1" applyFont="1" applyFill="1" applyBorder="1" applyAlignment="1">
      <alignment horizontal="left" vertical="center" wrapText="1"/>
    </xf>
    <xf numFmtId="0" fontId="7" fillId="49" borderId="14" xfId="0" applyFont="1" applyFill="1" applyBorder="1"/>
    <xf numFmtId="0" fontId="7" fillId="49" borderId="15" xfId="0" applyFont="1" applyFill="1" applyBorder="1"/>
    <xf numFmtId="0" fontId="7" fillId="49" borderId="16" xfId="0" applyFont="1" applyFill="1" applyBorder="1"/>
    <xf numFmtId="0" fontId="7" fillId="49" borderId="15" xfId="0" applyFont="1" applyFill="1" applyBorder="1" applyAlignment="1">
      <alignment wrapText="1"/>
    </xf>
    <xf numFmtId="0" fontId="7" fillId="49" borderId="16" xfId="0" applyFont="1" applyFill="1" applyBorder="1" applyAlignment="1">
      <alignment wrapText="1"/>
    </xf>
    <xf numFmtId="0" fontId="0" fillId="31" borderId="22" xfId="0" applyFill="1" applyBorder="1"/>
    <xf numFmtId="0" fontId="0" fillId="31" borderId="58" xfId="0" applyFill="1" applyBorder="1"/>
    <xf numFmtId="0" fontId="0" fillId="31" borderId="71" xfId="0" applyFill="1" applyBorder="1"/>
    <xf numFmtId="0" fontId="0" fillId="49" borderId="101" xfId="0" applyFill="1" applyBorder="1"/>
    <xf numFmtId="0" fontId="0" fillId="31" borderId="65" xfId="0" applyFill="1" applyBorder="1"/>
    <xf numFmtId="0" fontId="0" fillId="31" borderId="113" xfId="0" applyFill="1" applyBorder="1"/>
    <xf numFmtId="0" fontId="7" fillId="49" borderId="101" xfId="0" applyFont="1" applyFill="1" applyBorder="1"/>
    <xf numFmtId="0" fontId="7" fillId="49" borderId="5" xfId="0" applyFont="1" applyFill="1" applyBorder="1" applyAlignment="1">
      <alignment wrapText="1"/>
    </xf>
    <xf numFmtId="0" fontId="7" fillId="49" borderId="7" xfId="0" applyFont="1" applyFill="1" applyBorder="1" applyAlignment="1">
      <alignment wrapText="1"/>
    </xf>
    <xf numFmtId="0" fontId="0" fillId="31" borderId="8" xfId="0" applyFill="1" applyBorder="1"/>
    <xf numFmtId="0" fontId="64" fillId="31" borderId="4" xfId="0" applyFont="1" applyFill="1" applyBorder="1" applyAlignment="1">
      <alignment horizontal="left" wrapText="1"/>
    </xf>
    <xf numFmtId="0" fontId="7" fillId="31" borderId="8" xfId="0" applyFont="1" applyFill="1" applyBorder="1" applyAlignment="1">
      <alignment wrapText="1"/>
    </xf>
    <xf numFmtId="0" fontId="64" fillId="31" borderId="8" xfId="0" applyFont="1" applyFill="1" applyBorder="1" applyAlignment="1">
      <alignment horizontal="left" wrapText="1"/>
    </xf>
    <xf numFmtId="0" fontId="65" fillId="31" borderId="8" xfId="0" applyFont="1" applyFill="1" applyBorder="1" applyAlignment="1">
      <alignment horizontal="left" wrapText="1"/>
    </xf>
    <xf numFmtId="0" fontId="64" fillId="31" borderId="11" xfId="0" applyFont="1" applyFill="1" applyBorder="1" applyAlignment="1">
      <alignment horizontal="left" wrapText="1"/>
    </xf>
    <xf numFmtId="0" fontId="0" fillId="50" borderId="13" xfId="0" applyFill="1" applyBorder="1"/>
    <xf numFmtId="0" fontId="20" fillId="50" borderId="13" xfId="0" applyFont="1" applyFill="1" applyBorder="1"/>
    <xf numFmtId="0" fontId="0" fillId="50" borderId="4" xfId="0" applyFill="1" applyBorder="1"/>
    <xf numFmtId="0" fontId="20" fillId="50" borderId="4" xfId="0" applyFont="1" applyFill="1" applyBorder="1"/>
    <xf numFmtId="2" fontId="20" fillId="50" borderId="4" xfId="0" applyNumberFormat="1" applyFont="1" applyFill="1" applyBorder="1"/>
    <xf numFmtId="0" fontId="41" fillId="0" borderId="0" xfId="0" applyFont="1" applyAlignment="1">
      <alignment vertical="center" wrapText="1"/>
    </xf>
    <xf numFmtId="0" fontId="7" fillId="49" borderId="75" xfId="0" applyFont="1" applyFill="1" applyBorder="1" applyAlignment="1">
      <alignment wrapText="1"/>
    </xf>
    <xf numFmtId="0" fontId="7" fillId="31" borderId="65" xfId="0" applyFont="1" applyFill="1" applyBorder="1" applyAlignment="1">
      <alignment wrapText="1"/>
    </xf>
    <xf numFmtId="0" fontId="7" fillId="31" borderId="82" xfId="0" applyFont="1" applyFill="1" applyBorder="1"/>
    <xf numFmtId="0" fontId="0" fillId="31" borderId="11" xfId="0" applyFill="1" applyBorder="1"/>
    <xf numFmtId="0" fontId="7" fillId="49" borderId="49" xfId="0" applyFont="1" applyFill="1" applyBorder="1"/>
    <xf numFmtId="0" fontId="7" fillId="49" borderId="50" xfId="0" applyFont="1" applyFill="1" applyBorder="1"/>
    <xf numFmtId="0" fontId="7" fillId="49" borderId="51" xfId="0" applyFont="1" applyFill="1" applyBorder="1"/>
    <xf numFmtId="0" fontId="0" fillId="31" borderId="5" xfId="0" applyFill="1" applyBorder="1"/>
    <xf numFmtId="0" fontId="0" fillId="31" borderId="6" xfId="0" applyFill="1" applyBorder="1"/>
    <xf numFmtId="0" fontId="0" fillId="31" borderId="10" xfId="0" applyFill="1" applyBorder="1"/>
    <xf numFmtId="0" fontId="7" fillId="49" borderId="14" xfId="0" applyFont="1" applyFill="1" applyBorder="1" applyAlignment="1">
      <alignment horizontal="left"/>
    </xf>
    <xf numFmtId="0" fontId="7" fillId="49" borderId="16" xfId="0" applyFont="1" applyFill="1" applyBorder="1" applyAlignment="1">
      <alignment horizontal="left"/>
    </xf>
    <xf numFmtId="0" fontId="20" fillId="31" borderId="60" xfId="0" applyFont="1" applyFill="1" applyBorder="1"/>
    <xf numFmtId="0" fontId="0" fillId="31" borderId="59" xfId="0" applyFill="1" applyBorder="1"/>
    <xf numFmtId="0" fontId="20" fillId="31" borderId="8" xfId="0" applyFont="1" applyFill="1" applyBorder="1"/>
    <xf numFmtId="0" fontId="0" fillId="31" borderId="9" xfId="0" applyFill="1" applyBorder="1"/>
    <xf numFmtId="0" fontId="20" fillId="31" borderId="8" xfId="31" applyFont="1" applyFill="1" applyBorder="1"/>
    <xf numFmtId="1" fontId="0" fillId="31" borderId="9" xfId="0" applyNumberFormat="1" applyFill="1" applyBorder="1"/>
    <xf numFmtId="0" fontId="20" fillId="31" borderId="10" xfId="31" applyFont="1" applyFill="1" applyBorder="1"/>
    <xf numFmtId="2" fontId="0" fillId="31" borderId="12" xfId="0" applyNumberFormat="1" applyFill="1" applyBorder="1"/>
    <xf numFmtId="0" fontId="7" fillId="31" borderId="69" xfId="0" applyFont="1" applyFill="1" applyBorder="1" applyAlignment="1">
      <alignment wrapText="1"/>
    </xf>
    <xf numFmtId="0" fontId="7" fillId="31" borderId="76" xfId="0" applyFont="1" applyFill="1" applyBorder="1" applyAlignment="1">
      <alignment wrapText="1"/>
    </xf>
    <xf numFmtId="0" fontId="27" fillId="0" borderId="0" xfId="0" applyFont="1"/>
    <xf numFmtId="0" fontId="28" fillId="0" borderId="0" xfId="0" applyFont="1" applyAlignment="1">
      <alignment vertical="center" wrapText="1"/>
    </xf>
    <xf numFmtId="14" fontId="32" fillId="0" borderId="0" xfId="0" applyNumberFormat="1" applyFont="1" applyAlignment="1">
      <alignment vertical="center" wrapText="1"/>
    </xf>
    <xf numFmtId="0" fontId="28" fillId="0" borderId="0" xfId="0" applyFont="1" applyAlignment="1">
      <alignment horizontal="left" vertical="center" wrapText="1"/>
    </xf>
    <xf numFmtId="14" fontId="32" fillId="0" borderId="0" xfId="0" applyNumberFormat="1" applyFont="1" applyAlignment="1">
      <alignment horizontal="left" vertical="center" wrapText="1"/>
    </xf>
    <xf numFmtId="165" fontId="32" fillId="0" borderId="0" xfId="0" applyNumberFormat="1" applyFont="1" applyAlignment="1">
      <alignment vertical="center" wrapText="1"/>
    </xf>
    <xf numFmtId="165" fontId="32" fillId="0" borderId="0" xfId="0" applyNumberFormat="1" applyFont="1" applyAlignment="1">
      <alignment horizontal="left" vertical="center"/>
    </xf>
    <xf numFmtId="0" fontId="7" fillId="49" borderId="102" xfId="0" applyFont="1" applyFill="1" applyBorder="1" applyAlignment="1">
      <alignment vertical="center" wrapText="1"/>
    </xf>
    <xf numFmtId="0" fontId="7" fillId="49" borderId="103" xfId="0" applyFont="1" applyFill="1" applyBorder="1" applyAlignment="1">
      <alignment vertical="center" wrapText="1"/>
    </xf>
    <xf numFmtId="0" fontId="7" fillId="49" borderId="104" xfId="0" applyFont="1" applyFill="1" applyBorder="1" applyAlignment="1">
      <alignment vertical="center" wrapText="1"/>
    </xf>
    <xf numFmtId="0" fontId="7" fillId="49" borderId="7" xfId="0" applyFont="1" applyFill="1" applyBorder="1" applyAlignment="1">
      <alignment vertical="center" wrapText="1"/>
    </xf>
    <xf numFmtId="0" fontId="7" fillId="49" borderId="9" xfId="0" applyFont="1" applyFill="1" applyBorder="1" applyAlignment="1">
      <alignment vertical="center" wrapText="1"/>
    </xf>
    <xf numFmtId="0" fontId="7" fillId="49" borderId="12" xfId="0" applyFont="1" applyFill="1" applyBorder="1" applyAlignment="1">
      <alignment vertical="center" wrapText="1"/>
    </xf>
    <xf numFmtId="0" fontId="20" fillId="31" borderId="6" xfId="0" applyFont="1" applyFill="1" applyBorder="1"/>
    <xf numFmtId="0" fontId="20" fillId="31" borderId="11" xfId="31" applyFont="1" applyFill="1" applyBorder="1"/>
    <xf numFmtId="0" fontId="52" fillId="0" borderId="91" xfId="0" applyFont="1" applyBorder="1" applyAlignment="1">
      <alignment horizontal="left" wrapText="1"/>
    </xf>
    <xf numFmtId="0" fontId="52" fillId="0" borderId="92" xfId="0" applyFont="1" applyBorder="1" applyAlignment="1">
      <alignment horizontal="left" wrapText="1"/>
    </xf>
    <xf numFmtId="0" fontId="52" fillId="0" borderId="115" xfId="0" applyFont="1" applyBorder="1" applyAlignment="1">
      <alignment horizontal="left" wrapText="1"/>
    </xf>
    <xf numFmtId="0" fontId="52" fillId="42" borderId="95" xfId="0" applyFont="1" applyFill="1" applyBorder="1" applyAlignment="1">
      <alignment horizontal="left" wrapText="1"/>
    </xf>
    <xf numFmtId="0" fontId="52" fillId="42" borderId="30" xfId="0" applyFont="1" applyFill="1" applyBorder="1" applyAlignment="1">
      <alignment horizontal="left" wrapText="1"/>
    </xf>
    <xf numFmtId="0" fontId="52" fillId="42" borderId="116" xfId="0" applyFont="1" applyFill="1" applyBorder="1" applyAlignment="1">
      <alignment horizontal="left" wrapText="1"/>
    </xf>
    <xf numFmtId="0" fontId="52" fillId="42" borderId="117" xfId="0" applyFont="1" applyFill="1" applyBorder="1" applyAlignment="1">
      <alignment horizontal="left" wrapText="1"/>
    </xf>
    <xf numFmtId="184" fontId="52" fillId="0" borderId="95" xfId="0" applyNumberFormat="1" applyFont="1" applyBorder="1" applyAlignment="1">
      <alignment horizontal="center" wrapText="1"/>
    </xf>
    <xf numFmtId="185" fontId="52" fillId="0" borderId="95" xfId="0" applyNumberFormat="1" applyFont="1" applyBorder="1" applyAlignment="1">
      <alignment horizontal="center" wrapText="1"/>
    </xf>
    <xf numFmtId="0" fontId="52" fillId="42" borderId="99" xfId="0" applyFont="1" applyFill="1" applyBorder="1" applyAlignment="1">
      <alignment horizontal="left" wrapText="1"/>
    </xf>
    <xf numFmtId="0" fontId="52" fillId="42" borderId="118" xfId="0" applyFont="1" applyFill="1" applyBorder="1" applyAlignment="1">
      <alignment horizontal="left" wrapText="1"/>
    </xf>
    <xf numFmtId="186" fontId="52" fillId="0" borderId="30" xfId="0" applyNumberFormat="1" applyFont="1" applyBorder="1" applyAlignment="1">
      <alignment horizontal="center"/>
    </xf>
    <xf numFmtId="184" fontId="52" fillId="0" borderId="30" xfId="0" applyNumberFormat="1" applyFont="1" applyBorder="1" applyAlignment="1">
      <alignment horizontal="center" vertical="center"/>
    </xf>
    <xf numFmtId="184" fontId="52" fillId="41" borderId="30" xfId="0" applyNumberFormat="1" applyFont="1" applyFill="1" applyBorder="1" applyAlignment="1">
      <alignment horizontal="center" vertical="center"/>
    </xf>
    <xf numFmtId="184" fontId="52" fillId="41" borderId="30" xfId="0" applyNumberFormat="1" applyFont="1" applyFill="1" applyBorder="1" applyAlignment="1">
      <alignment horizontal="center"/>
    </xf>
    <xf numFmtId="184" fontId="0" fillId="31" borderId="4" xfId="0" applyNumberFormat="1" applyFill="1" applyBorder="1"/>
    <xf numFmtId="186" fontId="0" fillId="31" borderId="4" xfId="0" applyNumberFormat="1" applyFill="1" applyBorder="1"/>
    <xf numFmtId="0" fontId="20" fillId="31" borderId="4" xfId="57" applyFont="1" applyFill="1" applyBorder="1"/>
    <xf numFmtId="0" fontId="20" fillId="31" borderId="4" xfId="57" applyFont="1" applyFill="1" applyBorder="1" applyAlignment="1">
      <alignment horizontal="left" vertical="center"/>
    </xf>
    <xf numFmtId="0" fontId="28" fillId="31" borderId="119" xfId="0" applyFont="1" applyFill="1" applyBorder="1" applyAlignment="1">
      <alignment horizontal="left" vertical="center" wrapText="1"/>
    </xf>
    <xf numFmtId="0" fontId="32" fillId="41" borderId="120" xfId="0" applyFont="1" applyFill="1" applyBorder="1" applyAlignment="1">
      <alignment horizontal="left" vertical="center" wrapText="1"/>
    </xf>
    <xf numFmtId="0" fontId="28" fillId="31" borderId="119" xfId="0" applyFont="1" applyFill="1" applyBorder="1" applyAlignment="1">
      <alignment horizontal="left" vertical="center"/>
    </xf>
    <xf numFmtId="165" fontId="32" fillId="41" borderId="120" xfId="0" applyNumberFormat="1" applyFont="1" applyFill="1" applyBorder="1" applyAlignment="1">
      <alignment horizontal="left"/>
    </xf>
    <xf numFmtId="1" fontId="32" fillId="41" borderId="120" xfId="0" applyNumberFormat="1" applyFont="1" applyFill="1" applyBorder="1" applyAlignment="1">
      <alignment horizontal="left"/>
    </xf>
    <xf numFmtId="0" fontId="28" fillId="31" borderId="119" xfId="0" applyFont="1" applyFill="1" applyBorder="1" applyAlignment="1">
      <alignment vertical="center" wrapText="1"/>
    </xf>
    <xf numFmtId="165" fontId="32" fillId="41" borderId="120" xfId="0" applyNumberFormat="1" applyFont="1" applyFill="1" applyBorder="1" applyAlignment="1">
      <alignment vertical="center" wrapText="1"/>
    </xf>
    <xf numFmtId="165" fontId="32" fillId="41" borderId="120" xfId="0" applyNumberFormat="1" applyFont="1" applyFill="1" applyBorder="1" applyAlignment="1">
      <alignment horizontal="left" vertical="center"/>
    </xf>
    <xf numFmtId="0" fontId="0" fillId="0" borderId="0" xfId="0" applyAlignment="1">
      <alignment vertical="top" wrapText="1"/>
    </xf>
    <xf numFmtId="0" fontId="62" fillId="0" borderId="0" xfId="0" applyFont="1"/>
    <xf numFmtId="0" fontId="0" fillId="47" borderId="9" xfId="0" applyFill="1" applyBorder="1"/>
    <xf numFmtId="0" fontId="0" fillId="47" borderId="11" xfId="0" applyFill="1" applyBorder="1" applyAlignment="1">
      <alignment horizontal="left"/>
    </xf>
    <xf numFmtId="0" fontId="0" fillId="47" borderId="12" xfId="0" applyFill="1" applyBorder="1"/>
    <xf numFmtId="0" fontId="7" fillId="49" borderId="14" xfId="0" applyFont="1" applyFill="1" applyBorder="1" applyAlignment="1">
      <alignment horizontal="center"/>
    </xf>
    <xf numFmtId="0" fontId="7" fillId="49" borderId="15" xfId="0" applyFont="1" applyFill="1" applyBorder="1" applyAlignment="1">
      <alignment horizontal="center"/>
    </xf>
    <xf numFmtId="0" fontId="7" fillId="49" borderId="16" xfId="0" applyFont="1" applyFill="1" applyBorder="1" applyAlignment="1">
      <alignment horizontal="center"/>
    </xf>
    <xf numFmtId="0" fontId="52" fillId="42" borderId="88" xfId="0" applyFont="1" applyFill="1" applyBorder="1" applyAlignment="1">
      <alignment horizontal="left" vertical="center" wrapText="1"/>
    </xf>
    <xf numFmtId="0" fontId="0" fillId="0" borderId="0" xfId="0" applyAlignment="1">
      <alignment horizontal="left" wrapText="1"/>
    </xf>
    <xf numFmtId="166" fontId="0" fillId="0" borderId="0" xfId="0" applyNumberFormat="1"/>
    <xf numFmtId="0" fontId="66" fillId="0" borderId="0" xfId="0" applyFont="1"/>
    <xf numFmtId="0" fontId="20" fillId="31" borderId="101" xfId="0" applyFont="1" applyFill="1" applyBorder="1"/>
    <xf numFmtId="0" fontId="20" fillId="31" borderId="52" xfId="0" applyFont="1" applyFill="1" applyBorder="1"/>
    <xf numFmtId="0" fontId="20" fillId="31" borderId="54" xfId="0" applyFont="1" applyFill="1" applyBorder="1"/>
    <xf numFmtId="0" fontId="61" fillId="0" borderId="0" xfId="0" applyFont="1" applyAlignment="1">
      <alignment horizontal="center" vertical="center"/>
    </xf>
    <xf numFmtId="0" fontId="0" fillId="47" borderId="6" xfId="0" applyFill="1" applyBorder="1" applyAlignment="1">
      <alignment horizontal="left"/>
    </xf>
    <xf numFmtId="0" fontId="20" fillId="47" borderId="101" xfId="0" applyFont="1" applyFill="1" applyBorder="1" applyAlignment="1" applyProtection="1">
      <alignment horizontal="left"/>
      <protection locked="0"/>
    </xf>
    <xf numFmtId="0" fontId="41" fillId="0" borderId="0" xfId="0" applyFont="1" applyAlignment="1">
      <alignment horizontal="left" vertical="center" wrapText="1"/>
    </xf>
    <xf numFmtId="0" fontId="52" fillId="41" borderId="0" xfId="0" applyFont="1" applyFill="1" applyAlignment="1">
      <alignment wrapText="1"/>
    </xf>
    <xf numFmtId="0" fontId="52" fillId="0" borderId="30" xfId="0" applyFont="1" applyBorder="1" applyAlignment="1">
      <alignment wrapText="1"/>
    </xf>
    <xf numFmtId="184" fontId="52" fillId="0" borderId="30" xfId="0" applyNumberFormat="1" applyFont="1" applyBorder="1" applyAlignment="1">
      <alignment horizontal="center"/>
    </xf>
    <xf numFmtId="0" fontId="28" fillId="31" borderId="31" xfId="0" applyFont="1" applyFill="1" applyBorder="1" applyAlignment="1">
      <alignment horizontal="left" vertical="center"/>
    </xf>
    <xf numFmtId="1" fontId="32" fillId="41" borderId="33" xfId="0" applyNumberFormat="1" applyFont="1" applyFill="1" applyBorder="1" applyAlignment="1">
      <alignment horizontal="left"/>
    </xf>
    <xf numFmtId="14" fontId="32" fillId="41" borderId="126" xfId="0" applyNumberFormat="1" applyFont="1" applyFill="1" applyBorder="1" applyAlignment="1">
      <alignment vertical="center" wrapText="1"/>
    </xf>
    <xf numFmtId="186" fontId="52" fillId="0" borderId="30" xfId="0" applyNumberFormat="1" applyFont="1" applyBorder="1" applyAlignment="1">
      <alignment horizontal="center" vertical="center"/>
    </xf>
    <xf numFmtId="0" fontId="52" fillId="46" borderId="30" xfId="0" applyFont="1" applyFill="1" applyBorder="1"/>
    <xf numFmtId="186" fontId="52" fillId="41" borderId="30" xfId="0" applyNumberFormat="1" applyFont="1" applyFill="1" applyBorder="1" applyAlignment="1">
      <alignment horizontal="center"/>
    </xf>
    <xf numFmtId="0" fontId="52" fillId="42" borderId="117" xfId="0" applyFont="1" applyFill="1" applyBorder="1"/>
    <xf numFmtId="0" fontId="52" fillId="46" borderId="117" xfId="0" applyFont="1" applyFill="1" applyBorder="1"/>
    <xf numFmtId="186" fontId="52" fillId="41" borderId="117" xfId="0" applyNumberFormat="1" applyFont="1" applyFill="1" applyBorder="1" applyAlignment="1">
      <alignment horizontal="center"/>
    </xf>
    <xf numFmtId="186" fontId="52" fillId="0" borderId="117" xfId="0" applyNumberFormat="1" applyFont="1" applyBorder="1" applyAlignment="1">
      <alignment horizontal="center" vertical="center"/>
    </xf>
    <xf numFmtId="0" fontId="52" fillId="0" borderId="124" xfId="0" applyFont="1" applyBorder="1"/>
    <xf numFmtId="0" fontId="52" fillId="0" borderId="0" xfId="0" applyFont="1" applyAlignment="1">
      <alignment horizontal="center"/>
    </xf>
    <xf numFmtId="0" fontId="52" fillId="0" borderId="0" xfId="0" applyFont="1"/>
    <xf numFmtId="186" fontId="52" fillId="0" borderId="0" xfId="0" applyNumberFormat="1" applyFont="1" applyAlignment="1">
      <alignment horizontal="center"/>
    </xf>
    <xf numFmtId="0" fontId="30" fillId="0" borderId="0" xfId="0" applyFont="1" applyAlignment="1">
      <alignment vertical="top"/>
    </xf>
    <xf numFmtId="186" fontId="52" fillId="0" borderId="0" xfId="0" applyNumberFormat="1" applyFont="1" applyAlignment="1">
      <alignment horizontal="center" vertical="center"/>
    </xf>
    <xf numFmtId="0" fontId="52" fillId="42" borderId="4" xfId="0" applyFont="1" applyFill="1" applyBorder="1"/>
    <xf numFmtId="0" fontId="52" fillId="46" borderId="4" xfId="0" applyFont="1" applyFill="1" applyBorder="1"/>
    <xf numFmtId="186" fontId="52" fillId="41" borderId="4" xfId="0" applyNumberFormat="1" applyFont="1" applyFill="1" applyBorder="1" applyAlignment="1">
      <alignment horizontal="center"/>
    </xf>
    <xf numFmtId="186" fontId="52" fillId="0" borderId="4" xfId="0" applyNumberFormat="1" applyFont="1" applyBorder="1" applyAlignment="1">
      <alignment horizontal="center" vertical="center"/>
    </xf>
    <xf numFmtId="0" fontId="52" fillId="0" borderId="4" xfId="0" applyFont="1" applyBorder="1"/>
    <xf numFmtId="0" fontId="52" fillId="42" borderId="124" xfId="0" applyFont="1" applyFill="1" applyBorder="1"/>
    <xf numFmtId="184" fontId="52" fillId="0" borderId="124" xfId="0" applyNumberFormat="1" applyFont="1" applyBorder="1" applyAlignment="1">
      <alignment horizontal="center"/>
    </xf>
    <xf numFmtId="0" fontId="28" fillId="31" borderId="125" xfId="0" applyFont="1" applyFill="1" applyBorder="1" applyAlignment="1">
      <alignment vertical="center" wrapText="1"/>
    </xf>
    <xf numFmtId="0" fontId="28" fillId="31" borderId="127" xfId="0" applyFont="1" applyFill="1" applyBorder="1" applyAlignment="1">
      <alignment horizontal="left" vertical="center" wrapText="1"/>
    </xf>
    <xf numFmtId="14" fontId="32" fillId="41" borderId="126" xfId="0" applyNumberFormat="1" applyFont="1" applyFill="1" applyBorder="1" applyAlignment="1">
      <alignment horizontal="left" vertical="center"/>
    </xf>
    <xf numFmtId="0" fontId="28" fillId="31" borderId="127" xfId="0" applyFont="1" applyFill="1" applyBorder="1" applyAlignment="1">
      <alignment horizontal="left" vertical="center"/>
    </xf>
    <xf numFmtId="0" fontId="28" fillId="31" borderId="128" xfId="0" applyFont="1" applyFill="1" applyBorder="1" applyAlignment="1">
      <alignment vertical="center" wrapText="1"/>
    </xf>
    <xf numFmtId="188" fontId="52" fillId="0" borderId="30" xfId="47" applyNumberFormat="1" applyFont="1" applyBorder="1" applyAlignment="1">
      <alignment horizontal="center"/>
    </xf>
    <xf numFmtId="0" fontId="32" fillId="41" borderId="36" xfId="31" applyFont="1" applyFill="1" applyBorder="1" applyAlignment="1">
      <alignment horizontal="left" vertical="center" wrapText="1"/>
    </xf>
    <xf numFmtId="0" fontId="28" fillId="31" borderId="28" xfId="31" applyFont="1" applyFill="1" applyBorder="1" applyAlignment="1">
      <alignment horizontal="left" vertical="center"/>
    </xf>
    <xf numFmtId="14" fontId="32" fillId="41" borderId="36" xfId="31" applyNumberFormat="1" applyFont="1" applyFill="1" applyBorder="1" applyAlignment="1">
      <alignment horizontal="left" vertical="center"/>
    </xf>
    <xf numFmtId="0" fontId="28" fillId="31" borderId="31" xfId="31" applyFont="1" applyFill="1" applyBorder="1" applyAlignment="1">
      <alignment horizontal="left" vertical="center" wrapText="1"/>
    </xf>
    <xf numFmtId="0" fontId="32" fillId="41" borderId="33" xfId="31" applyFont="1" applyFill="1" applyBorder="1" applyAlignment="1">
      <alignment horizontal="left" vertical="center" wrapText="1"/>
    </xf>
    <xf numFmtId="0" fontId="28" fillId="31" borderId="31" xfId="31" applyFont="1" applyFill="1" applyBorder="1" applyAlignment="1">
      <alignment horizontal="left" vertical="center"/>
    </xf>
    <xf numFmtId="165" fontId="32" fillId="41" borderId="33" xfId="31" applyNumberFormat="1" applyFont="1" applyFill="1" applyBorder="1" applyAlignment="1">
      <alignment horizontal="left"/>
    </xf>
    <xf numFmtId="1" fontId="32" fillId="41" borderId="33" xfId="31" applyNumberFormat="1" applyFont="1" applyFill="1" applyBorder="1" applyAlignment="1">
      <alignment horizontal="left"/>
    </xf>
    <xf numFmtId="165" fontId="32" fillId="41" borderId="129" xfId="0" applyNumberFormat="1" applyFont="1" applyFill="1" applyBorder="1" applyAlignment="1">
      <alignment vertical="center" wrapText="1"/>
    </xf>
    <xf numFmtId="0" fontId="28" fillId="31" borderId="130" xfId="0" applyFont="1" applyFill="1" applyBorder="1" applyAlignment="1">
      <alignment vertical="center" wrapText="1"/>
    </xf>
    <xf numFmtId="165" fontId="32" fillId="41" borderId="129" xfId="0" applyNumberFormat="1" applyFont="1" applyFill="1" applyBorder="1" applyAlignment="1">
      <alignment horizontal="left" vertical="center"/>
    </xf>
    <xf numFmtId="0" fontId="28" fillId="31" borderId="130" xfId="0" applyFont="1" applyFill="1" applyBorder="1" applyAlignment="1">
      <alignment horizontal="left" vertical="center"/>
    </xf>
    <xf numFmtId="1" fontId="32" fillId="41" borderId="131" xfId="0" applyNumberFormat="1" applyFont="1" applyFill="1" applyBorder="1" applyAlignment="1">
      <alignment horizontal="left"/>
    </xf>
    <xf numFmtId="0" fontId="0" fillId="0" borderId="0" xfId="0" applyAlignment="1">
      <alignment horizontal="right"/>
    </xf>
    <xf numFmtId="184" fontId="0" fillId="31" borderId="13" xfId="0" applyNumberFormat="1" applyFill="1" applyBorder="1"/>
    <xf numFmtId="186" fontId="0" fillId="31" borderId="4" xfId="0" applyNumberFormat="1" applyFill="1" applyBorder="1" applyAlignment="1">
      <alignment horizontal="right"/>
    </xf>
    <xf numFmtId="184" fontId="0" fillId="31" borderId="4" xfId="0" applyNumberFormat="1" applyFill="1" applyBorder="1" applyAlignment="1">
      <alignment horizontal="right"/>
    </xf>
    <xf numFmtId="182" fontId="0" fillId="31" borderId="4" xfId="0" applyNumberFormat="1" applyFill="1" applyBorder="1" applyAlignment="1">
      <alignment horizontal="right"/>
    </xf>
    <xf numFmtId="186" fontId="0" fillId="31" borderId="13" xfId="0" applyNumberFormat="1" applyFill="1" applyBorder="1" applyAlignment="1">
      <alignment horizontal="right"/>
    </xf>
    <xf numFmtId="0" fontId="71" fillId="0" borderId="0" xfId="0" applyFont="1"/>
    <xf numFmtId="0" fontId="0" fillId="0" borderId="0" xfId="0" applyAlignment="1">
      <alignment horizontal="center" vertical="center" wrapText="1"/>
    </xf>
    <xf numFmtId="0" fontId="7" fillId="31" borderId="12" xfId="0" applyFont="1" applyFill="1" applyBorder="1"/>
    <xf numFmtId="14" fontId="9" fillId="41" borderId="36" xfId="30" applyNumberFormat="1" applyFill="1" applyBorder="1" applyAlignment="1">
      <alignment horizontal="left" vertical="center" wrapText="1"/>
    </xf>
    <xf numFmtId="14" fontId="9" fillId="41" borderId="36" xfId="30" applyNumberFormat="1" applyFill="1" applyBorder="1" applyAlignment="1">
      <alignment horizontal="left" vertical="center"/>
    </xf>
    <xf numFmtId="166" fontId="0" fillId="31" borderId="4" xfId="0" applyNumberFormat="1" applyFill="1" applyBorder="1"/>
    <xf numFmtId="0" fontId="0" fillId="47" borderId="7" xfId="0" applyFill="1" applyBorder="1"/>
    <xf numFmtId="187" fontId="52" fillId="0" borderId="30" xfId="0" applyNumberFormat="1" applyFont="1" applyBorder="1" applyAlignment="1">
      <alignment horizontal="center"/>
    </xf>
    <xf numFmtId="0" fontId="70" fillId="41" borderId="0" xfId="0" applyFont="1" applyFill="1" applyAlignment="1">
      <alignment wrapText="1"/>
    </xf>
    <xf numFmtId="0" fontId="20" fillId="31" borderId="72" xfId="0" applyFont="1" applyFill="1" applyBorder="1"/>
    <xf numFmtId="0" fontId="20" fillId="31" borderId="73" xfId="0" applyFont="1" applyFill="1" applyBorder="1"/>
    <xf numFmtId="0" fontId="20" fillId="31" borderId="74" xfId="0" applyFont="1" applyFill="1" applyBorder="1"/>
    <xf numFmtId="0" fontId="61" fillId="31" borderId="101" xfId="0" applyFont="1" applyFill="1" applyBorder="1"/>
    <xf numFmtId="0" fontId="0" fillId="0" borderId="0" xfId="0" applyAlignment="1">
      <alignment horizontal="left" vertical="center" wrapText="1"/>
    </xf>
    <xf numFmtId="0" fontId="0" fillId="48" borderId="84" xfId="0" applyFill="1" applyBorder="1"/>
    <xf numFmtId="0" fontId="20" fillId="31" borderId="4" xfId="0" applyFont="1" applyFill="1" applyBorder="1" applyAlignment="1">
      <alignment vertical="center"/>
    </xf>
    <xf numFmtId="0" fontId="20" fillId="31" borderId="4" xfId="57" applyFont="1" applyFill="1" applyBorder="1" applyAlignment="1">
      <alignment horizontal="left"/>
    </xf>
    <xf numFmtId="0" fontId="60" fillId="31" borderId="4" xfId="0" applyFont="1" applyFill="1" applyBorder="1" applyAlignment="1">
      <alignment horizontal="left"/>
    </xf>
    <xf numFmtId="0" fontId="52" fillId="0" borderId="0" xfId="31" applyFont="1"/>
    <xf numFmtId="4" fontId="52" fillId="0" borderId="30" xfId="31" applyNumberFormat="1" applyFont="1" applyBorder="1" applyAlignment="1">
      <alignment horizontal="center"/>
    </xf>
    <xf numFmtId="0" fontId="52" fillId="0" borderId="30" xfId="31" applyFont="1" applyBorder="1"/>
    <xf numFmtId="0" fontId="52" fillId="42" borderId="30" xfId="31" applyFont="1" applyFill="1" applyBorder="1"/>
    <xf numFmtId="4" fontId="52" fillId="41" borderId="30" xfId="35" applyNumberFormat="1" applyFont="1" applyFill="1" applyBorder="1" applyAlignment="1">
      <alignment horizontal="center" vertical="center"/>
    </xf>
    <xf numFmtId="4" fontId="52" fillId="42" borderId="30" xfId="31" applyNumberFormat="1" applyFont="1" applyFill="1" applyBorder="1"/>
    <xf numFmtId="4" fontId="52" fillId="46" borderId="30" xfId="35" applyNumberFormat="1" applyFont="1" applyFill="1" applyBorder="1" applyAlignment="1">
      <alignment horizontal="center" vertical="center"/>
    </xf>
    <xf numFmtId="4" fontId="28" fillId="31" borderId="28" xfId="31" applyNumberFormat="1" applyFont="1" applyFill="1" applyBorder="1" applyAlignment="1">
      <alignment horizontal="left" vertical="center"/>
    </xf>
    <xf numFmtId="4" fontId="32" fillId="41" borderId="33" xfId="31" applyNumberFormat="1" applyFont="1" applyFill="1" applyBorder="1" applyAlignment="1">
      <alignment horizontal="left"/>
    </xf>
    <xf numFmtId="4" fontId="28" fillId="31" borderId="31" xfId="31" applyNumberFormat="1" applyFont="1" applyFill="1" applyBorder="1" applyAlignment="1">
      <alignment horizontal="left" vertical="center"/>
    </xf>
    <xf numFmtId="0" fontId="32" fillId="41" borderId="33" xfId="31" applyFont="1" applyFill="1" applyBorder="1" applyAlignment="1">
      <alignment horizontal="left"/>
    </xf>
    <xf numFmtId="0" fontId="0" fillId="31" borderId="81" xfId="0" applyFill="1" applyBorder="1" applyAlignment="1">
      <alignment horizontal="left" wrapText="1"/>
    </xf>
    <xf numFmtId="0" fontId="0" fillId="31" borderId="81" xfId="0" applyFill="1" applyBorder="1" applyAlignment="1">
      <alignment wrapText="1"/>
    </xf>
    <xf numFmtId="0" fontId="0" fillId="31" borderId="134" xfId="0" applyFill="1" applyBorder="1" applyAlignment="1">
      <alignment wrapText="1"/>
    </xf>
    <xf numFmtId="0" fontId="0" fillId="47" borderId="7" xfId="0" applyFill="1" applyBorder="1" applyAlignment="1">
      <alignment horizontal="left"/>
    </xf>
    <xf numFmtId="0" fontId="0" fillId="31" borderId="135" xfId="0" applyFill="1" applyBorder="1"/>
    <xf numFmtId="0" fontId="0" fillId="47" borderId="9" xfId="0" applyFill="1" applyBorder="1" applyAlignment="1">
      <alignment horizontal="left"/>
    </xf>
    <xf numFmtId="0" fontId="0" fillId="47" borderId="12" xfId="0" applyFill="1" applyBorder="1" applyAlignment="1">
      <alignment horizontal="left"/>
    </xf>
    <xf numFmtId="0" fontId="0" fillId="0" borderId="0" xfId="0" applyAlignment="1">
      <alignment vertical="center" wrapText="1"/>
    </xf>
    <xf numFmtId="0" fontId="0" fillId="31" borderId="101" xfId="0" applyFill="1" applyBorder="1" applyAlignment="1">
      <alignment vertical="center" wrapText="1"/>
    </xf>
    <xf numFmtId="0" fontId="0" fillId="49" borderId="101" xfId="0" applyFill="1" applyBorder="1" applyAlignment="1">
      <alignment wrapText="1"/>
    </xf>
    <xf numFmtId="0" fontId="34" fillId="0" borderId="0" xfId="38" applyFont="1" applyFill="1" applyBorder="1" applyAlignment="1" applyProtection="1"/>
    <xf numFmtId="0" fontId="33" fillId="0" borderId="0" xfId="31" applyFont="1"/>
    <xf numFmtId="0" fontId="33" fillId="0" borderId="0" xfId="31" applyFont="1" applyAlignment="1">
      <alignment horizontal="left"/>
    </xf>
    <xf numFmtId="0" fontId="31" fillId="0" borderId="0" xfId="31" applyFont="1" applyAlignment="1">
      <alignment horizontal="left" vertical="center" wrapText="1"/>
    </xf>
    <xf numFmtId="0" fontId="27" fillId="0" borderId="0" xfId="31" applyFont="1" applyAlignment="1">
      <alignment horizontal="left" vertical="center" wrapText="1"/>
    </xf>
    <xf numFmtId="0" fontId="31" fillId="0" borderId="0" xfId="31" applyFont="1" applyAlignment="1">
      <alignment horizontal="left" vertical="center"/>
    </xf>
    <xf numFmtId="165" fontId="27" fillId="0" borderId="0" xfId="31" applyNumberFormat="1" applyFont="1" applyAlignment="1">
      <alignment horizontal="left" vertical="center"/>
    </xf>
    <xf numFmtId="1" fontId="27" fillId="0" borderId="0" xfId="31" applyNumberFormat="1" applyFont="1" applyAlignment="1">
      <alignment horizontal="left"/>
    </xf>
    <xf numFmtId="0" fontId="26" fillId="0" borderId="0" xfId="31" applyFont="1"/>
    <xf numFmtId="1" fontId="27" fillId="0" borderId="0" xfId="31" applyNumberFormat="1" applyFont="1"/>
    <xf numFmtId="177" fontId="27" fillId="0" borderId="0" xfId="35" applyNumberFormat="1" applyFont="1" applyFill="1"/>
    <xf numFmtId="0" fontId="40" fillId="0" borderId="0" xfId="31" applyFont="1" applyAlignment="1">
      <alignment vertical="center" wrapText="1"/>
    </xf>
    <xf numFmtId="0" fontId="0" fillId="48" borderId="60" xfId="0" applyFill="1" applyBorder="1"/>
    <xf numFmtId="0" fontId="0" fillId="48" borderId="13" xfId="0" applyFill="1" applyBorder="1"/>
    <xf numFmtId="0" fontId="20" fillId="42" borderId="117" xfId="31" applyFont="1" applyFill="1" applyBorder="1"/>
    <xf numFmtId="0" fontId="0" fillId="48" borderId="6" xfId="0" applyFill="1" applyBorder="1" applyAlignment="1">
      <alignment wrapText="1"/>
    </xf>
    <xf numFmtId="0" fontId="0" fillId="49" borderId="67" xfId="0" applyFill="1" applyBorder="1"/>
    <xf numFmtId="0" fontId="0" fillId="49" borderId="64" xfId="0" applyFill="1" applyBorder="1"/>
    <xf numFmtId="0" fontId="0" fillId="31" borderId="68" xfId="0" applyFill="1" applyBorder="1" applyAlignment="1">
      <alignment wrapText="1"/>
    </xf>
    <xf numFmtId="0" fontId="7" fillId="49" borderId="64" xfId="0" applyFont="1" applyFill="1" applyBorder="1" applyAlignment="1">
      <alignment wrapText="1"/>
    </xf>
    <xf numFmtId="2" fontId="0" fillId="48" borderId="6" xfId="0" applyNumberFormat="1" applyFill="1" applyBorder="1"/>
    <xf numFmtId="0" fontId="7" fillId="49" borderId="16" xfId="0" applyFont="1" applyFill="1" applyBorder="1" applyAlignment="1">
      <alignment vertical="center"/>
    </xf>
    <xf numFmtId="0" fontId="7" fillId="49" borderId="101" xfId="0" applyFont="1" applyFill="1" applyBorder="1" applyAlignment="1">
      <alignment horizontal="left" vertical="center"/>
    </xf>
    <xf numFmtId="166" fontId="0" fillId="48" borderId="122" xfId="0" applyNumberFormat="1" applyFill="1" applyBorder="1" applyAlignment="1">
      <alignment horizontal="center" vertical="center"/>
    </xf>
    <xf numFmtId="9" fontId="0" fillId="48" borderId="73" xfId="82" applyFont="1" applyFill="1" applyBorder="1" applyAlignment="1">
      <alignment horizontal="center" vertical="center"/>
    </xf>
    <xf numFmtId="0" fontId="7" fillId="49" borderId="101" xfId="0" applyFont="1" applyFill="1" applyBorder="1" applyAlignment="1">
      <alignment vertical="center"/>
    </xf>
    <xf numFmtId="2" fontId="0" fillId="48" borderId="105" xfId="0" applyNumberFormat="1" applyFill="1" applyBorder="1" applyAlignment="1">
      <alignment horizontal="center" vertical="center" wrapText="1"/>
    </xf>
    <xf numFmtId="2" fontId="0" fillId="48" borderId="106" xfId="0" applyNumberFormat="1" applyFill="1" applyBorder="1" applyAlignment="1">
      <alignment horizontal="center" vertical="center" wrapText="1"/>
    </xf>
    <xf numFmtId="2" fontId="0" fillId="48" borderId="107" xfId="0" applyNumberFormat="1" applyFill="1" applyBorder="1" applyAlignment="1">
      <alignment horizontal="center" vertical="center" wrapText="1"/>
    </xf>
    <xf numFmtId="0" fontId="0" fillId="48" borderId="84" xfId="0" applyFill="1" applyBorder="1" applyAlignment="1">
      <alignment wrapText="1"/>
    </xf>
    <xf numFmtId="0" fontId="0" fillId="48" borderId="75" xfId="0" applyFill="1" applyBorder="1"/>
    <xf numFmtId="0" fontId="20" fillId="31" borderId="5" xfId="31" applyFont="1" applyFill="1" applyBorder="1"/>
    <xf numFmtId="0" fontId="20" fillId="31" borderId="6" xfId="31" applyFont="1" applyFill="1" applyBorder="1"/>
    <xf numFmtId="0" fontId="7" fillId="49" borderId="72" xfId="0" applyFont="1" applyFill="1" applyBorder="1" applyAlignment="1">
      <alignment horizontal="center"/>
    </xf>
    <xf numFmtId="0" fontId="7" fillId="49" borderId="101" xfId="0" applyFont="1" applyFill="1" applyBorder="1" applyAlignment="1">
      <alignment horizontal="center"/>
    </xf>
    <xf numFmtId="0" fontId="7" fillId="49" borderId="74" xfId="0" applyFont="1" applyFill="1" applyBorder="1" applyAlignment="1">
      <alignment horizontal="center"/>
    </xf>
    <xf numFmtId="0" fontId="7" fillId="49" borderId="5" xfId="0" applyFont="1" applyFill="1" applyBorder="1" applyAlignment="1">
      <alignment horizontal="left" vertical="center" wrapText="1"/>
    </xf>
    <xf numFmtId="0" fontId="7" fillId="49" borderId="16" xfId="0" applyFont="1" applyFill="1" applyBorder="1" applyAlignment="1">
      <alignment horizontal="left" vertical="center"/>
    </xf>
    <xf numFmtId="0" fontId="0" fillId="49" borderId="101" xfId="0" applyFill="1" applyBorder="1" applyAlignment="1">
      <alignment horizontal="left" vertical="center" wrapText="1"/>
    </xf>
    <xf numFmtId="0" fontId="0" fillId="49" borderId="16" xfId="0" applyFill="1" applyBorder="1" applyAlignment="1">
      <alignment horizontal="left" vertical="center"/>
    </xf>
    <xf numFmtId="0" fontId="7" fillId="49" borderId="64" xfId="0" applyFont="1" applyFill="1" applyBorder="1" applyAlignment="1">
      <alignment vertical="center"/>
    </xf>
    <xf numFmtId="0" fontId="7" fillId="49" borderId="7" xfId="0" applyFont="1" applyFill="1" applyBorder="1" applyAlignment="1">
      <alignment vertical="center"/>
    </xf>
    <xf numFmtId="0" fontId="7" fillId="49" borderId="12" xfId="0" applyFont="1" applyFill="1" applyBorder="1" applyAlignment="1">
      <alignment vertical="center"/>
    </xf>
    <xf numFmtId="0" fontId="7" fillId="49" borderId="105" xfId="0" applyFont="1" applyFill="1" applyBorder="1" applyAlignment="1">
      <alignment vertical="center"/>
    </xf>
    <xf numFmtId="0" fontId="7" fillId="49" borderId="107" xfId="0" applyFont="1" applyFill="1" applyBorder="1" applyAlignment="1">
      <alignment vertical="center"/>
    </xf>
    <xf numFmtId="0" fontId="7" fillId="49" borderId="101" xfId="0" applyFont="1" applyFill="1" applyBorder="1" applyAlignment="1">
      <alignment vertical="center" wrapText="1"/>
    </xf>
    <xf numFmtId="166" fontId="0" fillId="48" borderId="61" xfId="0" applyNumberFormat="1" applyFill="1" applyBorder="1" applyAlignment="1">
      <alignment horizontal="center" vertical="center"/>
    </xf>
    <xf numFmtId="166" fontId="0" fillId="48" borderId="63" xfId="0" applyNumberFormat="1" applyFill="1" applyBorder="1" applyAlignment="1">
      <alignment horizontal="center" vertical="center"/>
    </xf>
    <xf numFmtId="0" fontId="7" fillId="49" borderId="133" xfId="0" applyFont="1" applyFill="1" applyBorder="1" applyAlignment="1">
      <alignment vertical="center"/>
    </xf>
    <xf numFmtId="0" fontId="7" fillId="49" borderId="107" xfId="0" applyFont="1" applyFill="1" applyBorder="1" applyAlignment="1">
      <alignment horizontal="left" vertical="center"/>
    </xf>
    <xf numFmtId="0" fontId="7" fillId="49" borderId="12" xfId="0" applyFont="1" applyFill="1" applyBorder="1" applyAlignment="1">
      <alignment horizontal="left" vertical="center"/>
    </xf>
    <xf numFmtId="166" fontId="0" fillId="48" borderId="58" xfId="0" applyNumberFormat="1" applyFill="1" applyBorder="1" applyAlignment="1">
      <alignment horizontal="center" vertical="center"/>
    </xf>
    <xf numFmtId="0" fontId="7" fillId="49" borderId="106" xfId="0" applyFont="1" applyFill="1" applyBorder="1" applyAlignment="1">
      <alignment vertical="center"/>
    </xf>
    <xf numFmtId="0" fontId="7" fillId="49" borderId="9" xfId="0" applyFont="1" applyFill="1" applyBorder="1" applyAlignment="1">
      <alignment vertical="center"/>
    </xf>
    <xf numFmtId="0" fontId="7" fillId="31" borderId="70" xfId="0" applyFont="1" applyFill="1" applyBorder="1" applyAlignment="1">
      <alignment wrapText="1"/>
    </xf>
    <xf numFmtId="0" fontId="7" fillId="49" borderId="61" xfId="0" applyFont="1" applyFill="1" applyBorder="1" applyAlignment="1">
      <alignment wrapText="1"/>
    </xf>
    <xf numFmtId="0" fontId="7" fillId="31" borderId="82" xfId="0" applyFont="1" applyFill="1" applyBorder="1" applyAlignment="1">
      <alignment wrapText="1"/>
    </xf>
    <xf numFmtId="0" fontId="7" fillId="31" borderId="63" xfId="0" applyFont="1" applyFill="1" applyBorder="1" applyAlignment="1">
      <alignment wrapText="1"/>
    </xf>
    <xf numFmtId="0" fontId="0" fillId="31" borderId="22" xfId="0" applyFill="1" applyBorder="1" applyAlignment="1">
      <alignment wrapText="1"/>
    </xf>
    <xf numFmtId="0" fontId="0" fillId="31" borderId="58" xfId="0" applyFill="1" applyBorder="1" applyAlignment="1">
      <alignment wrapText="1"/>
    </xf>
    <xf numFmtId="0" fontId="7" fillId="49" borderId="67" xfId="0" applyFont="1" applyFill="1" applyBorder="1" applyAlignment="1">
      <alignment wrapText="1"/>
    </xf>
    <xf numFmtId="0" fontId="7" fillId="49" borderId="81" xfId="0" applyFont="1" applyFill="1" applyBorder="1" applyAlignment="1">
      <alignment wrapText="1"/>
    </xf>
    <xf numFmtId="0" fontId="7" fillId="49" borderId="78" xfId="0" applyFont="1" applyFill="1" applyBorder="1" applyAlignment="1">
      <alignment horizontal="left" vertical="center"/>
    </xf>
    <xf numFmtId="0" fontId="20" fillId="31" borderId="111" xfId="0" applyFont="1" applyFill="1" applyBorder="1"/>
    <xf numFmtId="0" fontId="20" fillId="31" borderId="112" xfId="0" applyFont="1" applyFill="1" applyBorder="1"/>
    <xf numFmtId="0" fontId="20" fillId="31" borderId="102" xfId="0" applyFont="1" applyFill="1" applyBorder="1"/>
    <xf numFmtId="183" fontId="52" fillId="46" borderId="30" xfId="47" applyNumberFormat="1" applyFont="1" applyFill="1" applyBorder="1" applyAlignment="1">
      <alignment horizontal="center" vertical="center"/>
    </xf>
    <xf numFmtId="183" fontId="52" fillId="41" borderId="30" xfId="47" applyNumberFormat="1" applyFont="1" applyFill="1" applyBorder="1" applyAlignment="1">
      <alignment horizontal="center" vertical="center"/>
    </xf>
    <xf numFmtId="0" fontId="52" fillId="42" borderId="30" xfId="0" applyFont="1" applyFill="1" applyBorder="1" applyAlignment="1">
      <alignment wrapText="1"/>
    </xf>
    <xf numFmtId="168" fontId="52" fillId="41" borderId="30" xfId="0" applyNumberFormat="1" applyFont="1" applyFill="1" applyBorder="1" applyAlignment="1">
      <alignment horizontal="center"/>
    </xf>
    <xf numFmtId="0" fontId="28" fillId="31" borderId="31" xfId="0" applyFont="1" applyFill="1" applyBorder="1" applyAlignment="1">
      <alignment horizontal="left" vertical="center" wrapText="1"/>
    </xf>
    <xf numFmtId="0" fontId="32" fillId="41" borderId="33" xfId="0" applyFont="1" applyFill="1" applyBorder="1" applyAlignment="1">
      <alignment horizontal="left" vertical="center" wrapText="1"/>
    </xf>
    <xf numFmtId="165" fontId="32" fillId="41" borderId="33" xfId="0" applyNumberFormat="1" applyFont="1" applyFill="1" applyBorder="1" applyAlignment="1">
      <alignment horizontal="left"/>
    </xf>
    <xf numFmtId="0" fontId="52" fillId="0" borderId="0" xfId="0" applyFont="1" applyAlignment="1">
      <alignment horizontal="left" wrapText="1"/>
    </xf>
    <xf numFmtId="0" fontId="52" fillId="0" borderId="0" xfId="0" applyFont="1" applyAlignment="1">
      <alignment wrapText="1"/>
    </xf>
    <xf numFmtId="0" fontId="20" fillId="42" borderId="30" xfId="0" applyFont="1" applyFill="1" applyBorder="1" applyAlignment="1">
      <alignment vertical="center"/>
    </xf>
    <xf numFmtId="0" fontId="20" fillId="42" borderId="132" xfId="0" applyFont="1" applyFill="1" applyBorder="1" applyAlignment="1">
      <alignment vertical="center"/>
    </xf>
    <xf numFmtId="0" fontId="0" fillId="48" borderId="102" xfId="0" applyFill="1" applyBorder="1"/>
    <xf numFmtId="0" fontId="0" fillId="48" borderId="103" xfId="0" applyFill="1" applyBorder="1"/>
    <xf numFmtId="0" fontId="0" fillId="48" borderId="104" xfId="0" applyFill="1" applyBorder="1"/>
    <xf numFmtId="177" fontId="0" fillId="48" borderId="6" xfId="47" applyNumberFormat="1" applyFont="1" applyFill="1" applyBorder="1"/>
    <xf numFmtId="177" fontId="0" fillId="48" borderId="4" xfId="47" applyNumberFormat="1" applyFont="1" applyFill="1" applyBorder="1"/>
    <xf numFmtId="177" fontId="0" fillId="48" borderId="11" xfId="47" applyNumberFormat="1" applyFont="1" applyFill="1" applyBorder="1"/>
    <xf numFmtId="0" fontId="0" fillId="0" borderId="7" xfId="0" applyBorder="1"/>
    <xf numFmtId="0" fontId="0" fillId="0" borderId="10" xfId="0" applyBorder="1"/>
    <xf numFmtId="0" fontId="0" fillId="0" borderId="11" xfId="0" applyBorder="1"/>
    <xf numFmtId="0" fontId="0" fillId="0" borderId="12" xfId="0" applyBorder="1"/>
    <xf numFmtId="0" fontId="31" fillId="31" borderId="144" xfId="31" applyFont="1" applyFill="1" applyBorder="1" applyAlignment="1">
      <alignment horizontal="left" vertical="center" wrapText="1"/>
    </xf>
    <xf numFmtId="0" fontId="31" fillId="31" borderId="145" xfId="31" applyFont="1" applyFill="1" applyBorder="1" applyAlignment="1">
      <alignment horizontal="left" vertical="center" wrapText="1"/>
    </xf>
    <xf numFmtId="0" fontId="31" fillId="31" borderId="146" xfId="31" applyFont="1" applyFill="1" applyBorder="1" applyAlignment="1">
      <alignment horizontal="left" vertical="center" wrapText="1"/>
    </xf>
    <xf numFmtId="0" fontId="31" fillId="31" borderId="147" xfId="31" applyFont="1" applyFill="1" applyBorder="1" applyAlignment="1">
      <alignment horizontal="left" vertical="center" wrapText="1"/>
    </xf>
    <xf numFmtId="0" fontId="0" fillId="0" borderId="5" xfId="0" applyBorder="1"/>
    <xf numFmtId="0" fontId="31" fillId="31" borderId="148" xfId="31" applyFont="1" applyFill="1" applyBorder="1" applyAlignment="1">
      <alignment horizontal="left" vertical="center" wrapText="1"/>
    </xf>
    <xf numFmtId="2" fontId="75" fillId="0" borderId="0" xfId="0" applyNumberFormat="1" applyFont="1"/>
    <xf numFmtId="2" fontId="0" fillId="0" borderId="11" xfId="0" applyNumberFormat="1" applyBorder="1"/>
    <xf numFmtId="0" fontId="0" fillId="0" borderId="60" xfId="0" applyBorder="1"/>
    <xf numFmtId="0" fontId="0" fillId="0" borderId="13" xfId="0" applyBorder="1"/>
    <xf numFmtId="0" fontId="31" fillId="31" borderId="149" xfId="31" applyFont="1" applyFill="1" applyBorder="1" applyAlignment="1">
      <alignment horizontal="left" vertical="center"/>
    </xf>
    <xf numFmtId="0" fontId="31" fillId="31" borderId="150" xfId="31" applyFont="1" applyFill="1" applyBorder="1" applyAlignment="1">
      <alignment horizontal="left" vertical="center"/>
    </xf>
    <xf numFmtId="177" fontId="31" fillId="31" borderId="151" xfId="35" applyNumberFormat="1" applyFont="1" applyFill="1" applyBorder="1" applyAlignment="1">
      <alignment horizontal="left" vertical="center"/>
    </xf>
    <xf numFmtId="0" fontId="0" fillId="0" borderId="49" xfId="0" applyBorder="1"/>
    <xf numFmtId="2" fontId="0" fillId="0" borderId="59" xfId="0" applyNumberFormat="1" applyBorder="1"/>
    <xf numFmtId="2" fontId="0" fillId="0" borderId="12" xfId="0" applyNumberFormat="1" applyBorder="1"/>
    <xf numFmtId="0" fontId="9" fillId="31" borderId="4" xfId="30" applyFill="1" applyBorder="1"/>
    <xf numFmtId="0" fontId="20" fillId="31" borderId="9" xfId="0" applyFont="1" applyFill="1" applyBorder="1"/>
    <xf numFmtId="0" fontId="61" fillId="31" borderId="8" xfId="0" applyFont="1" applyFill="1" applyBorder="1"/>
    <xf numFmtId="0" fontId="61" fillId="31" borderId="9" xfId="0" applyFont="1" applyFill="1" applyBorder="1"/>
    <xf numFmtId="0" fontId="20" fillId="31" borderId="10" xfId="0" applyFont="1" applyFill="1" applyBorder="1"/>
    <xf numFmtId="0" fontId="20" fillId="31" borderId="12" xfId="0" applyFont="1" applyFill="1" applyBorder="1"/>
    <xf numFmtId="0" fontId="9" fillId="0" borderId="0" xfId="30" applyFill="1" applyAlignment="1"/>
    <xf numFmtId="0" fontId="7" fillId="49" borderId="84" xfId="0" applyFont="1" applyFill="1" applyBorder="1" applyAlignment="1">
      <alignment wrapText="1"/>
    </xf>
    <xf numFmtId="2" fontId="0" fillId="47" borderId="13" xfId="0" applyNumberFormat="1" applyFill="1" applyBorder="1"/>
    <xf numFmtId="0" fontId="0" fillId="47" borderId="61" xfId="0" applyFill="1" applyBorder="1"/>
    <xf numFmtId="0" fontId="0" fillId="47" borderId="58" xfId="0" applyFill="1" applyBorder="1"/>
    <xf numFmtId="0" fontId="0" fillId="47" borderId="63" xfId="0" applyFill="1" applyBorder="1"/>
    <xf numFmtId="0" fontId="0" fillId="47" borderId="101" xfId="0" applyFill="1" applyBorder="1" applyAlignment="1">
      <alignment horizontal="center" vertical="center" wrapText="1"/>
    </xf>
    <xf numFmtId="0" fontId="0" fillId="31" borderId="101" xfId="0" applyFill="1" applyBorder="1" applyAlignment="1">
      <alignment vertical="center"/>
    </xf>
    <xf numFmtId="0" fontId="0" fillId="49" borderId="105" xfId="0" applyFill="1" applyBorder="1" applyAlignment="1">
      <alignment vertical="center"/>
    </xf>
    <xf numFmtId="0" fontId="0" fillId="49" borderId="106" xfId="0" applyFill="1" applyBorder="1" applyAlignment="1">
      <alignment vertical="center"/>
    </xf>
    <xf numFmtId="0" fontId="0" fillId="49" borderId="107" xfId="0" applyFill="1" applyBorder="1" applyAlignment="1">
      <alignment vertical="center"/>
    </xf>
    <xf numFmtId="0" fontId="20" fillId="31" borderId="108" xfId="0" applyFont="1" applyFill="1" applyBorder="1"/>
    <xf numFmtId="0" fontId="20" fillId="31" borderId="62" xfId="0" applyFont="1" applyFill="1" applyBorder="1"/>
    <xf numFmtId="0" fontId="20" fillId="31" borderId="103" xfId="0" applyFont="1" applyFill="1" applyBorder="1"/>
    <xf numFmtId="0" fontId="0" fillId="31" borderId="4" xfId="0" applyFill="1" applyBorder="1" applyAlignment="1">
      <alignment horizontal="left"/>
    </xf>
    <xf numFmtId="0" fontId="20" fillId="31" borderId="8" xfId="31" applyFont="1" applyFill="1" applyBorder="1" applyAlignment="1">
      <alignment horizontal="left"/>
    </xf>
    <xf numFmtId="0" fontId="0" fillId="31" borderId="8" xfId="0" applyFill="1" applyBorder="1" applyAlignment="1">
      <alignment horizontal="left"/>
    </xf>
    <xf numFmtId="0" fontId="61" fillId="49" borderId="67" xfId="0" applyFont="1" applyFill="1" applyBorder="1" applyAlignment="1">
      <alignment wrapText="1"/>
    </xf>
    <xf numFmtId="0" fontId="61" fillId="49" borderId="81" xfId="0" applyFont="1" applyFill="1" applyBorder="1" applyAlignment="1">
      <alignment wrapText="1"/>
    </xf>
    <xf numFmtId="0" fontId="61" fillId="49" borderId="64" xfId="0" applyFont="1" applyFill="1" applyBorder="1" applyAlignment="1">
      <alignment wrapText="1"/>
    </xf>
    <xf numFmtId="0" fontId="20" fillId="31" borderId="5" xfId="0" applyFont="1" applyFill="1" applyBorder="1"/>
    <xf numFmtId="0" fontId="20" fillId="31" borderId="7" xfId="0" applyFont="1" applyFill="1" applyBorder="1"/>
    <xf numFmtId="0" fontId="20" fillId="31" borderId="11" xfId="0" applyFont="1" applyFill="1" applyBorder="1"/>
    <xf numFmtId="0" fontId="61" fillId="0" borderId="0" xfId="0" applyFont="1" applyAlignment="1">
      <alignment horizontal="left" wrapText="1"/>
    </xf>
    <xf numFmtId="0" fontId="0" fillId="48" borderId="105" xfId="0" applyFill="1" applyBorder="1"/>
    <xf numFmtId="0" fontId="0" fillId="31" borderId="15" xfId="0" applyFill="1" applyBorder="1" applyAlignment="1">
      <alignment horizontal="left" wrapText="1"/>
    </xf>
    <xf numFmtId="0" fontId="7" fillId="31" borderId="101" xfId="0" applyFont="1" applyFill="1" applyBorder="1" applyAlignment="1">
      <alignment horizontal="center" vertical="center" wrapText="1"/>
    </xf>
    <xf numFmtId="9" fontId="0" fillId="48" borderId="105" xfId="82" applyFont="1" applyFill="1" applyBorder="1" applyAlignment="1">
      <alignment horizontal="center" vertical="center"/>
    </xf>
    <xf numFmtId="9" fontId="0" fillId="48" borderId="106" xfId="82" applyFont="1" applyFill="1" applyBorder="1" applyAlignment="1">
      <alignment horizontal="center" vertical="center"/>
    </xf>
    <xf numFmtId="9" fontId="0" fillId="48" borderId="137" xfId="82" applyFont="1" applyFill="1" applyBorder="1" applyAlignment="1">
      <alignment horizontal="center" vertical="center"/>
    </xf>
    <xf numFmtId="9" fontId="0" fillId="48" borderId="101" xfId="82" applyFont="1" applyFill="1" applyBorder="1" applyAlignment="1">
      <alignment horizontal="center" vertical="center"/>
    </xf>
    <xf numFmtId="9" fontId="0" fillId="48" borderId="123" xfId="82" applyFont="1" applyFill="1" applyBorder="1" applyAlignment="1">
      <alignment horizontal="center" vertical="center"/>
    </xf>
    <xf numFmtId="9" fontId="0" fillId="48" borderId="107" xfId="82" applyFont="1" applyFill="1" applyBorder="1" applyAlignment="1">
      <alignment horizontal="center" vertical="center"/>
    </xf>
    <xf numFmtId="43" fontId="20" fillId="0" borderId="0" xfId="47" applyFont="1" applyFill="1"/>
    <xf numFmtId="43" fontId="61" fillId="0" borderId="0" xfId="47" applyFont="1" applyFill="1" applyAlignment="1">
      <alignment horizontal="left" wrapText="1"/>
    </xf>
    <xf numFmtId="43" fontId="20" fillId="48" borderId="105" xfId="47" applyFont="1" applyFill="1" applyBorder="1"/>
    <xf numFmtId="43" fontId="20" fillId="48" borderId="106" xfId="47" applyFont="1" applyFill="1" applyBorder="1"/>
    <xf numFmtId="43" fontId="20" fillId="48" borderId="107" xfId="47" applyFont="1" applyFill="1" applyBorder="1"/>
    <xf numFmtId="43" fontId="0" fillId="0" borderId="0" xfId="47" applyFont="1"/>
    <xf numFmtId="43" fontId="20" fillId="48" borderId="137" xfId="47" applyFont="1" applyFill="1" applyBorder="1"/>
    <xf numFmtId="43" fontId="20" fillId="48" borderId="101" xfId="47" applyFont="1" applyFill="1" applyBorder="1"/>
    <xf numFmtId="0" fontId="7" fillId="49" borderId="74" xfId="0" applyFont="1" applyFill="1" applyBorder="1" applyAlignment="1">
      <alignment vertical="center"/>
    </xf>
    <xf numFmtId="166" fontId="0" fillId="48" borderId="101" xfId="0" applyNumberFormat="1" applyFill="1" applyBorder="1" applyAlignment="1">
      <alignment horizontal="center" vertical="center"/>
    </xf>
    <xf numFmtId="0" fontId="7" fillId="49" borderId="73" xfId="0" applyFont="1" applyFill="1" applyBorder="1" applyAlignment="1">
      <alignment vertical="center"/>
    </xf>
    <xf numFmtId="0" fontId="7" fillId="49" borderId="105" xfId="0" applyFont="1" applyFill="1" applyBorder="1"/>
    <xf numFmtId="0" fontId="0" fillId="52" borderId="13" xfId="0" applyFill="1" applyBorder="1"/>
    <xf numFmtId="0" fontId="0" fillId="52" borderId="11" xfId="0" applyFill="1" applyBorder="1"/>
    <xf numFmtId="0" fontId="0" fillId="52" borderId="6" xfId="0" applyFill="1" applyBorder="1"/>
    <xf numFmtId="0" fontId="0" fillId="52" borderId="4" xfId="0" applyFill="1" applyBorder="1"/>
    <xf numFmtId="0" fontId="0" fillId="52" borderId="6" xfId="0" applyFill="1" applyBorder="1" applyAlignment="1">
      <alignment wrapText="1"/>
    </xf>
    <xf numFmtId="0" fontId="0" fillId="52" borderId="4" xfId="0" applyFill="1" applyBorder="1" applyAlignment="1">
      <alignment wrapText="1"/>
    </xf>
    <xf numFmtId="0" fontId="0" fillId="52" borderId="11" xfId="0" applyFill="1" applyBorder="1" applyAlignment="1">
      <alignment wrapText="1"/>
    </xf>
    <xf numFmtId="0" fontId="0" fillId="52" borderId="5" xfId="0" applyFill="1" applyBorder="1" applyAlignment="1">
      <alignment wrapText="1"/>
    </xf>
    <xf numFmtId="0" fontId="0" fillId="52" borderId="8" xfId="0" applyFill="1" applyBorder="1" applyAlignment="1">
      <alignment wrapText="1"/>
    </xf>
    <xf numFmtId="0" fontId="0" fillId="52" borderId="10" xfId="0" applyFill="1" applyBorder="1" applyAlignment="1">
      <alignment wrapText="1"/>
    </xf>
    <xf numFmtId="43" fontId="0" fillId="48" borderId="4" xfId="47" applyFont="1" applyFill="1" applyBorder="1"/>
    <xf numFmtId="43" fontId="0" fillId="48" borderId="11" xfId="47" applyFont="1" applyFill="1" applyBorder="1"/>
    <xf numFmtId="177" fontId="0" fillId="48" borderId="7" xfId="47" applyNumberFormat="1" applyFont="1" applyFill="1" applyBorder="1"/>
    <xf numFmtId="177" fontId="0" fillId="48" borderId="9" xfId="47" applyNumberFormat="1" applyFont="1" applyFill="1" applyBorder="1"/>
    <xf numFmtId="177" fontId="0" fillId="48" borderId="12" xfId="47" applyNumberFormat="1" applyFont="1" applyFill="1" applyBorder="1"/>
    <xf numFmtId="43" fontId="0" fillId="48" borderId="6" xfId="47" applyFont="1" applyFill="1" applyBorder="1"/>
    <xf numFmtId="0" fontId="0" fillId="48" borderId="57" xfId="0" applyFill="1" applyBorder="1"/>
    <xf numFmtId="0" fontId="7" fillId="31" borderId="137" xfId="0" applyFont="1" applyFill="1" applyBorder="1"/>
    <xf numFmtId="0" fontId="0" fillId="48" borderId="70" xfId="0" applyFill="1" applyBorder="1"/>
    <xf numFmtId="0" fontId="7" fillId="49" borderId="102" xfId="0" applyFont="1" applyFill="1" applyBorder="1" applyAlignment="1">
      <alignment vertical="center"/>
    </xf>
    <xf numFmtId="0" fontId="7" fillId="49" borderId="105" xfId="0" applyFont="1" applyFill="1" applyBorder="1" applyAlignment="1">
      <alignment vertical="center" wrapText="1"/>
    </xf>
    <xf numFmtId="0" fontId="7" fillId="49" borderId="106" xfId="0" applyFont="1" applyFill="1" applyBorder="1" applyAlignment="1">
      <alignment vertical="center" wrapText="1"/>
    </xf>
    <xf numFmtId="0" fontId="7" fillId="49" borderId="107" xfId="0" applyFont="1" applyFill="1" applyBorder="1" applyAlignment="1">
      <alignment vertical="center" wrapText="1"/>
    </xf>
    <xf numFmtId="0" fontId="59" fillId="0" borderId="0" xfId="0" applyFont="1" applyAlignment="1">
      <alignment vertical="center"/>
    </xf>
    <xf numFmtId="0" fontId="59" fillId="31" borderId="8" xfId="0" applyFont="1" applyFill="1" applyBorder="1" applyAlignment="1">
      <alignment vertical="center"/>
    </xf>
    <xf numFmtId="0" fontId="59" fillId="31" borderId="9" xfId="0" applyFont="1" applyFill="1" applyBorder="1" applyAlignment="1">
      <alignment vertical="center"/>
    </xf>
    <xf numFmtId="0" fontId="79" fillId="49" borderId="49" xfId="0" applyFont="1" applyFill="1" applyBorder="1" applyAlignment="1">
      <alignment wrapText="1"/>
    </xf>
    <xf numFmtId="0" fontId="79" fillId="49" borderId="51" xfId="0" applyFont="1" applyFill="1" applyBorder="1" applyAlignment="1">
      <alignment wrapText="1"/>
    </xf>
    <xf numFmtId="0" fontId="7" fillId="31" borderId="5" xfId="0" applyFont="1" applyFill="1" applyBorder="1" applyAlignment="1">
      <alignment wrapText="1"/>
    </xf>
    <xf numFmtId="0" fontId="81" fillId="0" borderId="0" xfId="0" applyFont="1" applyAlignment="1">
      <alignment vertical="center" wrapText="1"/>
    </xf>
    <xf numFmtId="0" fontId="80" fillId="0" borderId="0" xfId="0" applyFont="1" applyAlignment="1">
      <alignment vertical="center" wrapText="1"/>
    </xf>
    <xf numFmtId="0" fontId="80" fillId="31" borderId="4" xfId="0" applyFont="1" applyFill="1" applyBorder="1" applyAlignment="1">
      <alignment vertical="center" wrapText="1"/>
    </xf>
    <xf numFmtId="0" fontId="0" fillId="0" borderId="4" xfId="0" applyBorder="1"/>
    <xf numFmtId="2" fontId="0" fillId="0" borderId="4" xfId="0" applyNumberFormat="1" applyBorder="1"/>
    <xf numFmtId="0" fontId="0" fillId="31" borderId="4" xfId="0" applyFill="1" applyBorder="1" applyAlignment="1">
      <alignment wrapText="1"/>
    </xf>
    <xf numFmtId="166" fontId="13" fillId="0" borderId="4" xfId="87" applyNumberFormat="1" applyFont="1" applyBorder="1">
      <alignment horizontal="center" vertical="center"/>
    </xf>
    <xf numFmtId="0" fontId="82" fillId="56" borderId="67" xfId="85" applyFill="1" applyBorder="1" applyAlignment="1">
      <alignment horizontal="left" vertical="center" wrapText="1"/>
    </xf>
    <xf numFmtId="0" fontId="82" fillId="55" borderId="81" xfId="85" applyFill="1" applyBorder="1" applyAlignment="1">
      <alignment horizontal="center" vertical="center" wrapText="1"/>
    </xf>
    <xf numFmtId="0" fontId="82" fillId="55" borderId="64" xfId="85" applyFill="1" applyBorder="1" applyAlignment="1">
      <alignment horizontal="center" vertical="center" wrapText="1"/>
    </xf>
    <xf numFmtId="0" fontId="13" fillId="56" borderId="8" xfId="86" applyFill="1" applyBorder="1" applyAlignment="1">
      <alignment horizontal="left" vertical="center" wrapText="1"/>
    </xf>
    <xf numFmtId="166" fontId="13" fillId="0" borderId="9" xfId="87" applyNumberFormat="1" applyFont="1" applyBorder="1">
      <alignment horizontal="center" vertical="center"/>
    </xf>
    <xf numFmtId="0" fontId="13" fillId="56" borderId="10" xfId="86" applyFill="1" applyBorder="1" applyAlignment="1">
      <alignment horizontal="left" vertical="center" wrapText="1"/>
    </xf>
    <xf numFmtId="166" fontId="13" fillId="0" borderId="11" xfId="87" applyNumberFormat="1" applyFont="1" applyBorder="1">
      <alignment horizontal="center" vertical="center"/>
    </xf>
    <xf numFmtId="0" fontId="13" fillId="0" borderId="11" xfId="0" applyFont="1" applyBorder="1"/>
    <xf numFmtId="0" fontId="13" fillId="0" borderId="12" xfId="0" applyFont="1" applyBorder="1"/>
    <xf numFmtId="0" fontId="82" fillId="31" borderId="5" xfId="86" applyFont="1" applyFill="1" applyBorder="1" applyAlignment="1">
      <alignment horizontal="left" vertical="center" wrapText="1"/>
    </xf>
    <xf numFmtId="0" fontId="82" fillId="31" borderId="10" xfId="86" applyFont="1" applyFill="1" applyBorder="1" applyAlignment="1">
      <alignment horizontal="left" vertical="center" wrapText="1"/>
    </xf>
    <xf numFmtId="0" fontId="0" fillId="0" borderId="9" xfId="0" applyBorder="1" applyAlignment="1">
      <alignment wrapText="1"/>
    </xf>
    <xf numFmtId="0" fontId="0" fillId="0" borderId="9" xfId="0" applyBorder="1"/>
    <xf numFmtId="0" fontId="82" fillId="31" borderId="5" xfId="85" applyFill="1" applyBorder="1" applyAlignment="1">
      <alignment horizontal="center" vertical="center" wrapText="1"/>
    </xf>
    <xf numFmtId="0" fontId="82" fillId="31" borderId="7" xfId="85" applyFill="1" applyBorder="1" applyAlignment="1">
      <alignment horizontal="center" vertical="center" wrapText="1"/>
    </xf>
    <xf numFmtId="0" fontId="13" fillId="31" borderId="8" xfId="86" applyFill="1" applyBorder="1" applyAlignment="1">
      <alignment horizontal="left" vertical="center" wrapText="1"/>
    </xf>
    <xf numFmtId="0" fontId="0" fillId="49" borderId="111" xfId="0" applyFill="1" applyBorder="1"/>
    <xf numFmtId="0" fontId="0" fillId="49" borderId="108" xfId="0" applyFill="1" applyBorder="1"/>
    <xf numFmtId="0" fontId="0" fillId="49" borderId="109" xfId="0" applyFill="1" applyBorder="1"/>
    <xf numFmtId="9" fontId="0" fillId="0" borderId="105" xfId="0" applyNumberFormat="1" applyBorder="1"/>
    <xf numFmtId="10" fontId="0" fillId="0" borderId="106" xfId="0" applyNumberFormat="1" applyBorder="1"/>
    <xf numFmtId="9" fontId="0" fillId="0" borderId="106" xfId="0" applyNumberFormat="1" applyBorder="1"/>
    <xf numFmtId="9" fontId="0" fillId="0" borderId="107" xfId="0" applyNumberFormat="1" applyBorder="1"/>
    <xf numFmtId="165" fontId="0" fillId="50" borderId="13" xfId="0" applyNumberFormat="1" applyFill="1" applyBorder="1"/>
    <xf numFmtId="165" fontId="0" fillId="50" borderId="4" xfId="0" applyNumberFormat="1" applyFill="1" applyBorder="1"/>
    <xf numFmtId="0" fontId="0" fillId="41" borderId="4" xfId="0" applyFill="1" applyBorder="1" applyAlignment="1">
      <alignment wrapText="1"/>
    </xf>
    <xf numFmtId="0" fontId="82" fillId="56" borderId="50" xfId="85" applyFill="1" applyBorder="1" applyAlignment="1">
      <alignment horizontal="center" vertical="center" wrapText="1"/>
    </xf>
    <xf numFmtId="0" fontId="0" fillId="0" borderId="4" xfId="0" applyBorder="1" applyAlignment="1">
      <alignment horizontal="left"/>
    </xf>
    <xf numFmtId="0" fontId="88" fillId="0" borderId="80" xfId="0" applyFont="1" applyBorder="1" applyAlignment="1">
      <alignment vertical="center" wrapText="1"/>
    </xf>
    <xf numFmtId="0" fontId="86" fillId="0" borderId="80" xfId="0" applyFont="1" applyBorder="1" applyAlignment="1">
      <alignment vertical="center" wrapText="1"/>
    </xf>
    <xf numFmtId="9" fontId="86" fillId="0" borderId="56" xfId="0" applyNumberFormat="1" applyFont="1" applyBorder="1" applyAlignment="1">
      <alignment vertical="center" wrapText="1"/>
    </xf>
    <xf numFmtId="10" fontId="88" fillId="0" borderId="56" xfId="82" applyNumberFormat="1" applyFont="1" applyBorder="1" applyAlignment="1">
      <alignment vertical="center" wrapText="1"/>
    </xf>
    <xf numFmtId="17" fontId="0" fillId="0" borderId="0" xfId="0" applyNumberFormat="1" applyAlignment="1">
      <alignment wrapText="1"/>
    </xf>
    <xf numFmtId="0" fontId="0" fillId="0" borderId="4" xfId="0" applyBorder="1" applyAlignment="1">
      <alignment wrapText="1"/>
    </xf>
    <xf numFmtId="0" fontId="0" fillId="0" borderId="4" xfId="0" applyBorder="1" applyAlignment="1">
      <alignment horizontal="center" vertical="center" wrapText="1"/>
    </xf>
    <xf numFmtId="0" fontId="0" fillId="49" borderId="4" xfId="0" applyFill="1" applyBorder="1"/>
    <xf numFmtId="10" fontId="0" fillId="31" borderId="4" xfId="0" applyNumberFormat="1" applyFill="1" applyBorder="1"/>
    <xf numFmtId="0" fontId="0" fillId="51" borderId="4" xfId="0" applyFill="1" applyBorder="1" applyAlignment="1">
      <alignment wrapText="1"/>
    </xf>
    <xf numFmtId="0" fontId="0" fillId="51" borderId="71" xfId="0" applyFill="1" applyBorder="1" applyAlignment="1">
      <alignment wrapText="1"/>
    </xf>
    <xf numFmtId="0" fontId="0" fillId="51" borderId="65" xfId="0" applyFill="1" applyBorder="1" applyAlignment="1">
      <alignment wrapText="1"/>
    </xf>
    <xf numFmtId="0" fontId="0" fillId="49" borderId="72" xfId="0" applyFill="1" applyBorder="1"/>
    <xf numFmtId="0" fontId="0" fillId="31" borderId="84" xfId="0" applyFill="1" applyBorder="1"/>
    <xf numFmtId="0" fontId="80" fillId="49" borderId="4" xfId="0" applyFont="1" applyFill="1" applyBorder="1" applyAlignment="1">
      <alignment vertical="center" wrapText="1"/>
    </xf>
    <xf numFmtId="0" fontId="80" fillId="53" borderId="4" xfId="0" applyFont="1" applyFill="1" applyBorder="1" applyAlignment="1">
      <alignment vertical="center" wrapText="1"/>
    </xf>
    <xf numFmtId="10" fontId="80" fillId="53" borderId="4" xfId="0" applyNumberFormat="1" applyFont="1" applyFill="1" applyBorder="1" applyAlignment="1">
      <alignment vertical="center" wrapText="1"/>
    </xf>
    <xf numFmtId="10" fontId="0" fillId="0" borderId="4" xfId="82" applyNumberFormat="1" applyFont="1" applyBorder="1"/>
    <xf numFmtId="177" fontId="0" fillId="48" borderId="13" xfId="47" applyNumberFormat="1" applyFont="1" applyFill="1" applyBorder="1"/>
    <xf numFmtId="0" fontId="0" fillId="31" borderId="68" xfId="0" applyFill="1" applyBorder="1"/>
    <xf numFmtId="177" fontId="0" fillId="0" borderId="0" xfId="47" applyNumberFormat="1" applyFont="1" applyAlignment="1">
      <alignment wrapText="1"/>
    </xf>
    <xf numFmtId="177" fontId="0" fillId="0" borderId="0" xfId="47" applyNumberFormat="1" applyFont="1" applyFill="1" applyBorder="1" applyAlignment="1">
      <alignment horizontal="left" vertical="center" wrapText="1"/>
    </xf>
    <xf numFmtId="177" fontId="0" fillId="0" borderId="0" xfId="47" applyNumberFormat="1" applyFont="1" applyFill="1" applyBorder="1" applyAlignment="1">
      <alignment horizontal="center" vertical="center" wrapText="1"/>
    </xf>
    <xf numFmtId="177" fontId="7" fillId="49" borderId="6" xfId="47" applyNumberFormat="1" applyFont="1" applyFill="1" applyBorder="1" applyAlignment="1">
      <alignment wrapText="1"/>
    </xf>
    <xf numFmtId="177" fontId="7" fillId="31" borderId="11" xfId="47" applyNumberFormat="1" applyFont="1" applyFill="1" applyBorder="1" applyAlignment="1">
      <alignment wrapText="1"/>
    </xf>
    <xf numFmtId="177" fontId="0" fillId="48" borderId="13" xfId="47" applyNumberFormat="1" applyFont="1" applyFill="1" applyBorder="1" applyAlignment="1">
      <alignment horizontal="center" wrapText="1"/>
    </xf>
    <xf numFmtId="177" fontId="0" fillId="48" borderId="4" xfId="47" applyNumberFormat="1" applyFont="1" applyFill="1" applyBorder="1" applyAlignment="1">
      <alignment horizontal="center" wrapText="1"/>
    </xf>
    <xf numFmtId="177" fontId="7" fillId="31" borderId="71" xfId="47" applyNumberFormat="1" applyFont="1" applyFill="1" applyBorder="1" applyAlignment="1">
      <alignment wrapText="1"/>
    </xf>
    <xf numFmtId="177" fontId="0" fillId="48" borderId="6" xfId="47" applyNumberFormat="1" applyFont="1" applyFill="1" applyBorder="1" applyAlignment="1">
      <alignment horizontal="center" wrapText="1"/>
    </xf>
    <xf numFmtId="177" fontId="0" fillId="48" borderId="11" xfId="47" applyNumberFormat="1" applyFont="1" applyFill="1" applyBorder="1" applyAlignment="1">
      <alignment horizontal="center" wrapText="1"/>
    </xf>
    <xf numFmtId="177" fontId="0" fillId="0" borderId="0" xfId="47" applyNumberFormat="1" applyFont="1"/>
    <xf numFmtId="177" fontId="7" fillId="49" borderId="6" xfId="47" applyNumberFormat="1" applyFont="1" applyFill="1" applyBorder="1"/>
    <xf numFmtId="43" fontId="0" fillId="0" borderId="0" xfId="47" applyFont="1" applyAlignment="1"/>
    <xf numFmtId="43" fontId="7" fillId="49" borderId="105" xfId="47" applyFont="1" applyFill="1" applyBorder="1"/>
    <xf numFmtId="43" fontId="7" fillId="31" borderId="137" xfId="47" applyFont="1" applyFill="1" applyBorder="1"/>
    <xf numFmtId="43" fontId="0" fillId="48" borderId="105" xfId="47" applyFont="1" applyFill="1" applyBorder="1"/>
    <xf numFmtId="43" fontId="0" fillId="48" borderId="106" xfId="47" applyFont="1" applyFill="1" applyBorder="1"/>
    <xf numFmtId="43" fontId="0" fillId="48" borderId="107" xfId="47" applyFont="1" applyFill="1" applyBorder="1"/>
    <xf numFmtId="43" fontId="0" fillId="48" borderId="137" xfId="47" applyFont="1" applyFill="1" applyBorder="1"/>
    <xf numFmtId="43" fontId="7" fillId="31" borderId="107" xfId="47" applyFont="1" applyFill="1" applyBorder="1"/>
    <xf numFmtId="43" fontId="0" fillId="48" borderId="103" xfId="47" applyFont="1" applyFill="1" applyBorder="1"/>
    <xf numFmtId="43" fontId="0" fillId="48" borderId="104" xfId="47" applyFont="1" applyFill="1" applyBorder="1"/>
    <xf numFmtId="43" fontId="0" fillId="48" borderId="123" xfId="47" applyFont="1" applyFill="1" applyBorder="1"/>
    <xf numFmtId="177" fontId="0" fillId="48" borderId="101" xfId="47" applyNumberFormat="1" applyFont="1" applyFill="1" applyBorder="1" applyAlignment="1">
      <alignment horizontal="center" vertical="center" wrapText="1"/>
    </xf>
    <xf numFmtId="177" fontId="0" fillId="49" borderId="105" xfId="47" applyNumberFormat="1" applyFont="1" applyFill="1" applyBorder="1"/>
    <xf numFmtId="177" fontId="0" fillId="49" borderId="106" xfId="47" applyNumberFormat="1" applyFont="1" applyFill="1" applyBorder="1"/>
    <xf numFmtId="177" fontId="0" fillId="49" borderId="107" xfId="47" applyNumberFormat="1" applyFont="1" applyFill="1" applyBorder="1"/>
    <xf numFmtId="177" fontId="0" fillId="49" borderId="111" xfId="47" applyNumberFormat="1" applyFont="1" applyFill="1" applyBorder="1" applyAlignment="1">
      <alignment vertical="center"/>
    </xf>
    <xf numFmtId="177" fontId="0" fillId="49" borderId="108" xfId="47" applyNumberFormat="1" applyFont="1" applyFill="1" applyBorder="1" applyAlignment="1">
      <alignment vertical="center"/>
    </xf>
    <xf numFmtId="177" fontId="0" fillId="49" borderId="109" xfId="47" applyNumberFormat="1" applyFont="1" applyFill="1" applyBorder="1" applyAlignment="1">
      <alignment vertical="center"/>
    </xf>
    <xf numFmtId="177" fontId="0" fillId="0" borderId="0" xfId="47" applyNumberFormat="1" applyFont="1" applyFill="1" applyBorder="1" applyAlignment="1">
      <alignment wrapText="1"/>
    </xf>
    <xf numFmtId="177" fontId="0" fillId="0" borderId="0" xfId="47" applyNumberFormat="1" applyFont="1" applyFill="1" applyBorder="1" applyAlignment="1">
      <alignment horizontal="left" wrapText="1"/>
    </xf>
    <xf numFmtId="177" fontId="0" fillId="48" borderId="6" xfId="47" applyNumberFormat="1" applyFont="1" applyFill="1" applyBorder="1" applyAlignment="1">
      <alignment horizontal="center"/>
    </xf>
    <xf numFmtId="177" fontId="0" fillId="48" borderId="4" xfId="47" applyNumberFormat="1" applyFont="1" applyFill="1" applyBorder="1" applyAlignment="1">
      <alignment horizontal="center"/>
    </xf>
    <xf numFmtId="177" fontId="0" fillId="48" borderId="11" xfId="47" applyNumberFormat="1" applyFont="1" applyFill="1" applyBorder="1" applyAlignment="1">
      <alignment horizontal="center"/>
    </xf>
    <xf numFmtId="177" fontId="41" fillId="0" borderId="0" xfId="47" applyNumberFormat="1" applyFont="1" applyFill="1" applyBorder="1" applyAlignment="1">
      <alignment horizontal="center" vertical="center" wrapText="1"/>
    </xf>
    <xf numFmtId="177" fontId="0" fillId="0" borderId="0" xfId="47" applyNumberFormat="1" applyFont="1" applyFill="1" applyBorder="1"/>
    <xf numFmtId="43" fontId="41" fillId="0" borderId="0" xfId="47" applyFont="1" applyAlignment="1">
      <alignment horizontal="center" vertical="center" wrapText="1"/>
    </xf>
    <xf numFmtId="43" fontId="0" fillId="0" borderId="0" xfId="47" applyFont="1" applyFill="1"/>
    <xf numFmtId="177" fontId="0" fillId="0" borderId="0" xfId="47" applyNumberFormat="1" applyFont="1" applyFill="1"/>
    <xf numFmtId="177" fontId="7" fillId="49" borderId="7" xfId="47" applyNumberFormat="1" applyFont="1" applyFill="1" applyBorder="1" applyAlignment="1">
      <alignment wrapText="1"/>
    </xf>
    <xf numFmtId="177" fontId="7" fillId="31" borderId="76" xfId="47" applyNumberFormat="1" applyFont="1" applyFill="1" applyBorder="1" applyAlignment="1">
      <alignment wrapText="1"/>
    </xf>
    <xf numFmtId="177" fontId="0" fillId="48" borderId="7" xfId="47" applyNumberFormat="1" applyFont="1" applyFill="1" applyBorder="1" applyAlignment="1">
      <alignment wrapText="1"/>
    </xf>
    <xf numFmtId="177" fontId="0" fillId="48" borderId="9" xfId="47" applyNumberFormat="1" applyFont="1" applyFill="1" applyBorder="1" applyAlignment="1">
      <alignment wrapText="1"/>
    </xf>
    <xf numFmtId="177" fontId="0" fillId="48" borderId="12" xfId="47" applyNumberFormat="1" applyFont="1" applyFill="1" applyBorder="1" applyAlignment="1">
      <alignment wrapText="1"/>
    </xf>
    <xf numFmtId="1" fontId="0" fillId="48" borderId="5" xfId="47" applyNumberFormat="1" applyFont="1" applyFill="1" applyBorder="1" applyAlignment="1">
      <alignment horizontal="center" vertical="center" wrapText="1"/>
    </xf>
    <xf numFmtId="1" fontId="0" fillId="48" borderId="8" xfId="47" applyNumberFormat="1" applyFont="1" applyFill="1" applyBorder="1" applyAlignment="1">
      <alignment horizontal="center" vertical="center" wrapText="1"/>
    </xf>
    <xf numFmtId="1" fontId="0" fillId="48" borderId="10" xfId="47" applyNumberFormat="1" applyFont="1" applyFill="1" applyBorder="1" applyAlignment="1">
      <alignment horizontal="center" vertical="center" wrapText="1"/>
    </xf>
    <xf numFmtId="2" fontId="0" fillId="0" borderId="0" xfId="0" applyNumberFormat="1"/>
    <xf numFmtId="9" fontId="0" fillId="48" borderId="80" xfId="82" applyFont="1" applyFill="1" applyBorder="1" applyAlignment="1">
      <alignment horizontal="center" vertical="center"/>
    </xf>
    <xf numFmtId="0" fontId="20" fillId="31" borderId="8" xfId="0" applyFont="1" applyFill="1" applyBorder="1" applyAlignment="1">
      <alignment horizontal="left"/>
    </xf>
    <xf numFmtId="0" fontId="20" fillId="31" borderId="4" xfId="0" applyFont="1" applyFill="1" applyBorder="1" applyAlignment="1">
      <alignment horizontal="left"/>
    </xf>
    <xf numFmtId="43" fontId="0" fillId="0" borderId="0" xfId="47" applyFont="1" applyFill="1" applyBorder="1"/>
    <xf numFmtId="43" fontId="0" fillId="0" borderId="0" xfId="47" applyFont="1" applyFill="1" applyBorder="1" applyAlignment="1">
      <alignment wrapText="1"/>
    </xf>
    <xf numFmtId="0" fontId="0" fillId="31" borderId="11" xfId="0" applyFill="1" applyBorder="1" applyAlignment="1">
      <alignment wrapText="1"/>
    </xf>
    <xf numFmtId="0" fontId="0" fillId="31" borderId="11" xfId="0" applyFill="1" applyBorder="1" applyAlignment="1">
      <alignment horizontal="left"/>
    </xf>
    <xf numFmtId="0" fontId="20" fillId="31" borderId="4" xfId="0" applyFont="1" applyFill="1" applyBorder="1" applyAlignment="1">
      <alignment horizontal="right"/>
    </xf>
    <xf numFmtId="0" fontId="0" fillId="31" borderId="4" xfId="0" applyFill="1" applyBorder="1" applyAlignment="1">
      <alignment horizontal="right"/>
    </xf>
    <xf numFmtId="0" fontId="60" fillId="31" borderId="4" xfId="0" applyFont="1" applyFill="1" applyBorder="1" applyAlignment="1">
      <alignment horizontal="right"/>
    </xf>
    <xf numFmtId="0" fontId="20" fillId="31" borderId="4" xfId="0" applyFont="1" applyFill="1" applyBorder="1" applyAlignment="1">
      <alignment horizontal="right" indent="1"/>
    </xf>
    <xf numFmtId="0" fontId="60" fillId="31" borderId="4" xfId="0" applyFont="1" applyFill="1" applyBorder="1" applyAlignment="1">
      <alignment horizontal="right" wrapText="1"/>
    </xf>
    <xf numFmtId="2" fontId="0" fillId="31" borderId="4" xfId="0" applyNumberFormat="1" applyFill="1" applyBorder="1" applyAlignment="1">
      <alignment horizontal="right" indent="1"/>
    </xf>
    <xf numFmtId="2" fontId="0" fillId="31" borderId="4" xfId="0" applyNumberFormat="1" applyFill="1" applyBorder="1"/>
    <xf numFmtId="0" fontId="60" fillId="31" borderId="8" xfId="0" applyFont="1" applyFill="1" applyBorder="1" applyAlignment="1">
      <alignment horizontal="left"/>
    </xf>
    <xf numFmtId="0" fontId="60" fillId="31" borderId="8" xfId="0" applyFont="1" applyFill="1" applyBorder="1" applyAlignment="1">
      <alignment horizontal="left" wrapText="1"/>
    </xf>
    <xf numFmtId="0" fontId="60" fillId="31" borderId="10" xfId="0" applyFont="1" applyFill="1" applyBorder="1" applyAlignment="1">
      <alignment horizontal="left" wrapText="1"/>
    </xf>
    <xf numFmtId="0" fontId="60" fillId="31" borderId="11" xfId="0" applyFont="1" applyFill="1" applyBorder="1" applyAlignment="1">
      <alignment horizontal="right" wrapText="1"/>
    </xf>
    <xf numFmtId="2" fontId="0" fillId="31" borderId="11" xfId="0" applyNumberFormat="1" applyFill="1" applyBorder="1"/>
    <xf numFmtId="0" fontId="7" fillId="31" borderId="6" xfId="0" applyFont="1" applyFill="1" applyBorder="1" applyAlignment="1">
      <alignment wrapText="1"/>
    </xf>
    <xf numFmtId="0" fontId="7" fillId="31" borderId="7" xfId="0" applyFont="1" applyFill="1" applyBorder="1" applyAlignment="1">
      <alignment horizontal="right" wrapText="1"/>
    </xf>
    <xf numFmtId="0" fontId="0" fillId="31" borderId="9" xfId="0" applyFill="1" applyBorder="1" applyAlignment="1">
      <alignment horizontal="right"/>
    </xf>
    <xf numFmtId="0" fontId="60" fillId="31" borderId="9" xfId="0" applyFont="1" applyFill="1" applyBorder="1" applyAlignment="1">
      <alignment horizontal="right"/>
    </xf>
    <xf numFmtId="0" fontId="60" fillId="31" borderId="9" xfId="0" applyFont="1" applyFill="1" applyBorder="1" applyAlignment="1">
      <alignment horizontal="right" wrapText="1"/>
    </xf>
    <xf numFmtId="0" fontId="60" fillId="31" borderId="12" xfId="0" applyFont="1" applyFill="1" applyBorder="1" applyAlignment="1">
      <alignment horizontal="right" wrapText="1"/>
    </xf>
    <xf numFmtId="0" fontId="20" fillId="50" borderId="4" xfId="0" applyFont="1" applyFill="1" applyBorder="1" applyAlignment="1">
      <alignment horizontal="left"/>
    </xf>
    <xf numFmtId="0" fontId="60" fillId="50" borderId="4" xfId="0" applyFont="1" applyFill="1" applyBorder="1" applyAlignment="1">
      <alignment horizontal="left"/>
    </xf>
    <xf numFmtId="0" fontId="60" fillId="50" borderId="4" xfId="0" applyFont="1" applyFill="1" applyBorder="1" applyAlignment="1">
      <alignment horizontal="left" wrapText="1"/>
    </xf>
    <xf numFmtId="0" fontId="0" fillId="0" borderId="0" xfId="0" applyAlignment="1">
      <alignment horizontal="center" wrapText="1"/>
    </xf>
    <xf numFmtId="0" fontId="0" fillId="50" borderId="14" xfId="0" applyFill="1" applyBorder="1" applyAlignment="1">
      <alignment horizontal="center" vertical="center" wrapText="1"/>
    </xf>
    <xf numFmtId="0" fontId="0" fillId="50" borderId="15" xfId="0" applyFill="1" applyBorder="1" applyAlignment="1">
      <alignment horizontal="center" vertical="center" wrapText="1"/>
    </xf>
    <xf numFmtId="177" fontId="0" fillId="50" borderId="16" xfId="47" applyNumberFormat="1" applyFont="1" applyFill="1" applyBorder="1" applyAlignment="1">
      <alignment horizontal="center" vertical="center" wrapText="1"/>
    </xf>
    <xf numFmtId="166" fontId="0" fillId="0" borderId="4" xfId="0" applyNumberFormat="1" applyBorder="1"/>
    <xf numFmtId="0" fontId="7" fillId="58" borderId="14" xfId="0" applyFont="1" applyFill="1" applyBorder="1"/>
    <xf numFmtId="0" fontId="7" fillId="58" borderId="15" xfId="0" applyFont="1" applyFill="1" applyBorder="1" applyAlignment="1">
      <alignment horizontal="left"/>
    </xf>
    <xf numFmtId="0" fontId="7" fillId="58" borderId="15" xfId="0" applyFont="1" applyFill="1" applyBorder="1" applyAlignment="1">
      <alignment wrapText="1"/>
    </xf>
    <xf numFmtId="0" fontId="7" fillId="58" borderId="16" xfId="0" applyFont="1" applyFill="1" applyBorder="1" applyAlignment="1">
      <alignment wrapText="1"/>
    </xf>
    <xf numFmtId="0" fontId="0" fillId="0" borderId="13" xfId="0" applyBorder="1" applyProtection="1">
      <protection locked="0"/>
    </xf>
    <xf numFmtId="167" fontId="0" fillId="0" borderId="13" xfId="0" applyNumberFormat="1" applyBorder="1"/>
    <xf numFmtId="0" fontId="0" fillId="47" borderId="59" xfId="0" applyFill="1" applyBorder="1"/>
    <xf numFmtId="0" fontId="0" fillId="0" borderId="8" xfId="0" applyBorder="1"/>
    <xf numFmtId="0" fontId="0" fillId="0" borderId="4" xfId="0" applyBorder="1" applyProtection="1">
      <protection locked="0"/>
    </xf>
    <xf numFmtId="0" fontId="0" fillId="45" borderId="9" xfId="0" applyFill="1" applyBorder="1"/>
    <xf numFmtId="167" fontId="0" fillId="0" borderId="11" xfId="0" applyNumberFormat="1" applyBorder="1"/>
    <xf numFmtId="0" fontId="76" fillId="31" borderId="83" xfId="52" applyFont="1" applyFill="1" applyBorder="1" applyAlignment="1" applyProtection="1">
      <alignment wrapText="1"/>
      <protection locked="0"/>
    </xf>
    <xf numFmtId="0" fontId="89" fillId="31" borderId="4" xfId="0" applyFont="1" applyFill="1" applyBorder="1" applyAlignment="1">
      <alignment horizontal="center" vertical="top" wrapText="1"/>
    </xf>
    <xf numFmtId="0" fontId="89" fillId="31" borderId="4" xfId="0" applyFont="1" applyFill="1" applyBorder="1" applyAlignment="1">
      <alignment horizontal="center" vertical="center"/>
    </xf>
    <xf numFmtId="0" fontId="76" fillId="31" borderId="4" xfId="52" applyFont="1" applyFill="1" applyBorder="1" applyAlignment="1" applyProtection="1">
      <alignment horizontal="center" vertical="top" wrapText="1"/>
      <protection locked="0"/>
    </xf>
    <xf numFmtId="0" fontId="90" fillId="31" borderId="71" xfId="0" applyFont="1" applyFill="1" applyBorder="1" applyAlignment="1">
      <alignment horizontal="center" vertical="center" wrapText="1"/>
    </xf>
    <xf numFmtId="3" fontId="76" fillId="31" borderId="4" xfId="52" applyNumberFormat="1" applyFont="1" applyFill="1" applyBorder="1" applyAlignment="1">
      <alignment horizontal="center" vertical="top" wrapText="1"/>
    </xf>
    <xf numFmtId="0" fontId="89" fillId="31" borderId="4" xfId="0" applyFont="1" applyFill="1" applyBorder="1" applyAlignment="1">
      <alignment horizontal="center" vertical="center" wrapText="1"/>
    </xf>
    <xf numFmtId="0" fontId="0" fillId="31" borderId="4" xfId="0" applyFill="1" applyBorder="1" applyAlignment="1">
      <alignment vertical="center" wrapText="1"/>
    </xf>
    <xf numFmtId="3" fontId="76" fillId="0" borderId="4" xfId="52" applyNumberFormat="1" applyFont="1" applyBorder="1" applyAlignment="1">
      <alignment horizontal="right" vertical="center" wrapText="1"/>
    </xf>
    <xf numFmtId="3" fontId="20" fillId="59" borderId="4" xfId="0" applyNumberFormat="1" applyFont="1" applyFill="1" applyBorder="1" applyAlignment="1" applyProtection="1">
      <alignment horizontal="right" vertical="center" wrapText="1"/>
      <protection locked="0"/>
    </xf>
    <xf numFmtId="0" fontId="0" fillId="0" borderId="4" xfId="0" applyBorder="1" applyAlignment="1">
      <alignment horizontal="right"/>
    </xf>
    <xf numFmtId="3" fontId="76" fillId="0" borderId="4" xfId="52" applyNumberFormat="1" applyFont="1" applyBorder="1" applyAlignment="1" applyProtection="1">
      <alignment horizontal="right" vertical="center" wrapText="1"/>
      <protection locked="0"/>
    </xf>
    <xf numFmtId="3" fontId="76" fillId="59" borderId="4" xfId="52" applyNumberFormat="1" applyFont="1" applyFill="1" applyBorder="1" applyAlignment="1" applyProtection="1">
      <alignment horizontal="right" vertical="center" wrapText="1"/>
      <protection locked="0"/>
    </xf>
    <xf numFmtId="0" fontId="89" fillId="0" borderId="4" xfId="0" applyFont="1" applyBorder="1" applyAlignment="1">
      <alignment horizontal="right" vertical="top" wrapText="1"/>
    </xf>
    <xf numFmtId="167" fontId="89" fillId="57" borderId="4" xfId="0" applyNumberFormat="1" applyFont="1" applyFill="1" applyBorder="1" applyAlignment="1">
      <alignment horizontal="right"/>
    </xf>
    <xf numFmtId="3" fontId="76" fillId="59" borderId="4" xfId="52" applyNumberFormat="1" applyFont="1" applyFill="1" applyBorder="1" applyAlignment="1">
      <alignment horizontal="right" vertical="center" wrapText="1"/>
    </xf>
    <xf numFmtId="167" fontId="89" fillId="0" borderId="4" xfId="0" applyNumberFormat="1" applyFont="1" applyBorder="1" applyAlignment="1">
      <alignment horizontal="right"/>
    </xf>
    <xf numFmtId="3" fontId="20" fillId="0" borderId="4" xfId="0" applyNumberFormat="1" applyFont="1" applyBorder="1" applyAlignment="1" applyProtection="1">
      <alignment horizontal="right" vertical="center" wrapText="1"/>
      <protection locked="0"/>
    </xf>
    <xf numFmtId="0" fontId="89" fillId="0" borderId="4" xfId="0" applyFont="1" applyBorder="1" applyAlignment="1">
      <alignment horizontal="right" vertical="center" wrapText="1"/>
    </xf>
    <xf numFmtId="3" fontId="0" fillId="0" borderId="4" xfId="0" applyNumberFormat="1" applyBorder="1"/>
    <xf numFmtId="0" fontId="89" fillId="0" borderId="4" xfId="0" applyFont="1" applyBorder="1" applyAlignment="1">
      <alignment horizontal="right"/>
    </xf>
    <xf numFmtId="0" fontId="89" fillId="57" borderId="4" xfId="0" applyFont="1" applyFill="1" applyBorder="1" applyAlignment="1">
      <alignment horizontal="right" vertical="center" wrapText="1"/>
    </xf>
    <xf numFmtId="0" fontId="0" fillId="48" borderId="0" xfId="0" applyFill="1" applyAlignment="1">
      <alignment horizontal="left" vertical="top" wrapText="1"/>
    </xf>
    <xf numFmtId="2" fontId="0" fillId="48" borderId="0" xfId="0" applyNumberFormat="1" applyFill="1" applyAlignment="1">
      <alignment horizontal="left" vertical="top"/>
    </xf>
    <xf numFmtId="0" fontId="89" fillId="0" borderId="0" xfId="0" applyFont="1" applyAlignment="1">
      <alignment horizontal="right"/>
    </xf>
    <xf numFmtId="0" fontId="89" fillId="0" borderId="0" xfId="0" applyFont="1" applyAlignment="1">
      <alignment horizontal="right" vertical="center" wrapText="1"/>
    </xf>
    <xf numFmtId="190" fontId="0" fillId="0" borderId="0" xfId="47" applyNumberFormat="1" applyFont="1"/>
    <xf numFmtId="0" fontId="9" fillId="0" borderId="0" xfId="30" applyAlignment="1">
      <alignment horizontal="left" vertical="top" wrapText="1"/>
    </xf>
    <xf numFmtId="0" fontId="0" fillId="0" borderId="0" xfId="0" applyAlignment="1">
      <alignment horizontal="left" vertical="top" wrapText="1"/>
    </xf>
    <xf numFmtId="0" fontId="0" fillId="0" borderId="4" xfId="0" applyBorder="1" applyAlignment="1">
      <alignment horizontal="left" vertical="top" wrapText="1"/>
    </xf>
    <xf numFmtId="0" fontId="0" fillId="0" borderId="11" xfId="0" applyBorder="1" applyAlignment="1">
      <alignment horizontal="left" vertical="top" wrapText="1"/>
    </xf>
    <xf numFmtId="0" fontId="20" fillId="31" borderId="6" xfId="0" applyFont="1" applyFill="1" applyBorder="1" applyAlignment="1">
      <alignment horizontal="left" vertical="top" wrapText="1"/>
    </xf>
    <xf numFmtId="0" fontId="20" fillId="31" borderId="7" xfId="0" applyFont="1" applyFill="1" applyBorder="1" applyAlignment="1">
      <alignment horizontal="left" vertical="top" wrapText="1"/>
    </xf>
    <xf numFmtId="0" fontId="0" fillId="0" borderId="9" xfId="0" applyBorder="1" applyAlignment="1">
      <alignment horizontal="left" vertical="top" wrapText="1"/>
    </xf>
    <xf numFmtId="0" fontId="0" fillId="0" borderId="12" xfId="0" applyBorder="1" applyAlignment="1">
      <alignment horizontal="left" vertical="top" wrapText="1"/>
    </xf>
    <xf numFmtId="189" fontId="0" fillId="0" borderId="0" xfId="47" applyNumberFormat="1" applyFont="1" applyAlignment="1">
      <alignment horizontal="left" vertical="top"/>
    </xf>
    <xf numFmtId="189" fontId="0" fillId="0" borderId="0" xfId="47" applyNumberFormat="1" applyFont="1"/>
    <xf numFmtId="189" fontId="89" fillId="31" borderId="4" xfId="47" applyNumberFormat="1" applyFont="1" applyFill="1" applyBorder="1" applyAlignment="1">
      <alignment horizontal="center" vertical="top" wrapText="1"/>
    </xf>
    <xf numFmtId="189" fontId="89" fillId="0" borderId="4" xfId="47" applyNumberFormat="1" applyFont="1" applyBorder="1" applyAlignment="1">
      <alignment horizontal="right" vertical="top" wrapText="1"/>
    </xf>
    <xf numFmtId="1" fontId="0" fillId="0" borderId="13" xfId="0" applyNumberFormat="1" applyBorder="1"/>
    <xf numFmtId="1" fontId="0" fillId="0" borderId="11" xfId="0" applyNumberFormat="1" applyBorder="1"/>
    <xf numFmtId="0" fontId="0" fillId="0" borderId="69" xfId="0" applyBorder="1"/>
    <xf numFmtId="0" fontId="0" fillId="0" borderId="71" xfId="0" applyBorder="1" applyProtection="1">
      <protection locked="0"/>
    </xf>
    <xf numFmtId="167" fontId="0" fillId="0" borderId="113" xfId="0" applyNumberFormat="1" applyBorder="1"/>
    <xf numFmtId="1" fontId="0" fillId="0" borderId="113" xfId="0" applyNumberFormat="1" applyBorder="1"/>
    <xf numFmtId="0" fontId="0" fillId="48" borderId="76" xfId="0" applyFill="1" applyBorder="1"/>
    <xf numFmtId="0" fontId="0" fillId="0" borderId="6" xfId="0" applyBorder="1"/>
    <xf numFmtId="1" fontId="0" fillId="0" borderId="6" xfId="0" applyNumberFormat="1" applyBorder="1"/>
    <xf numFmtId="0" fontId="0" fillId="0" borderId="6" xfId="0" applyBorder="1" applyAlignment="1">
      <alignment horizontal="center"/>
    </xf>
    <xf numFmtId="0" fontId="7" fillId="31" borderId="10" xfId="0" applyFont="1" applyFill="1" applyBorder="1" applyAlignment="1">
      <alignment horizontal="center" vertical="center"/>
    </xf>
    <xf numFmtId="0" fontId="74" fillId="0" borderId="0" xfId="0" applyFont="1" applyAlignment="1">
      <alignment horizontal="center" vertical="center" wrapText="1"/>
    </xf>
    <xf numFmtId="0" fontId="0" fillId="48" borderId="15" xfId="0" applyFill="1" applyBorder="1" applyAlignment="1">
      <alignment horizontal="center" vertical="center"/>
    </xf>
    <xf numFmtId="0" fontId="0" fillId="48" borderId="16" xfId="0" applyFill="1" applyBorder="1" applyAlignment="1">
      <alignment horizontal="center" vertical="center"/>
    </xf>
    <xf numFmtId="43" fontId="0" fillId="48" borderId="7" xfId="47" applyFont="1" applyFill="1" applyBorder="1"/>
    <xf numFmtId="43" fontId="0" fillId="48" borderId="9" xfId="47" applyFont="1" applyFill="1" applyBorder="1"/>
    <xf numFmtId="43" fontId="0" fillId="48" borderId="12" xfId="47" applyFont="1" applyFill="1" applyBorder="1"/>
    <xf numFmtId="0" fontId="7" fillId="0" borderId="0" xfId="0" applyFont="1" applyAlignment="1">
      <alignment wrapText="1"/>
    </xf>
    <xf numFmtId="0" fontId="0" fillId="0" borderId="0" xfId="0" applyAlignment="1">
      <alignment vertical="center"/>
    </xf>
    <xf numFmtId="0" fontId="0" fillId="0" borderId="6" xfId="0" applyBorder="1" applyAlignment="1">
      <alignment horizontal="left"/>
    </xf>
    <xf numFmtId="0" fontId="0" fillId="0" borderId="11" xfId="0" applyBorder="1" applyAlignment="1">
      <alignment horizontal="left"/>
    </xf>
    <xf numFmtId="0" fontId="0" fillId="48" borderId="7" xfId="0" applyFill="1" applyBorder="1" applyAlignment="1">
      <alignment wrapText="1"/>
    </xf>
    <xf numFmtId="0" fontId="80" fillId="31" borderId="6" xfId="0" applyFont="1" applyFill="1" applyBorder="1" applyAlignment="1">
      <alignment vertical="center" wrapText="1"/>
    </xf>
    <xf numFmtId="43" fontId="7" fillId="31" borderId="71" xfId="47" applyFont="1" applyFill="1" applyBorder="1" applyAlignment="1">
      <alignment wrapText="1"/>
    </xf>
    <xf numFmtId="43" fontId="0" fillId="48" borderId="102" xfId="47" applyFont="1" applyFill="1" applyBorder="1"/>
    <xf numFmtId="0" fontId="20" fillId="31" borderId="60" xfId="0" applyFont="1" applyFill="1" applyBorder="1" applyAlignment="1">
      <alignment horizontal="left"/>
    </xf>
    <xf numFmtId="0" fontId="0" fillId="31" borderId="13" xfId="0" applyFill="1" applyBorder="1" applyAlignment="1">
      <alignment horizontal="left"/>
    </xf>
    <xf numFmtId="0" fontId="0" fillId="31" borderId="13" xfId="0" applyFill="1" applyBorder="1" applyAlignment="1">
      <alignment horizontal="left" vertical="center"/>
    </xf>
    <xf numFmtId="0" fontId="7" fillId="31" borderId="11" xfId="0" applyFont="1" applyFill="1" applyBorder="1" applyAlignment="1">
      <alignment horizontal="center" vertical="center"/>
    </xf>
    <xf numFmtId="0" fontId="0" fillId="48" borderId="13" xfId="0" applyFill="1" applyBorder="1" applyAlignment="1">
      <alignment wrapText="1"/>
    </xf>
    <xf numFmtId="0" fontId="7" fillId="49" borderId="102" xfId="0" applyFont="1" applyFill="1" applyBorder="1" applyAlignment="1">
      <alignment wrapText="1"/>
    </xf>
    <xf numFmtId="0" fontId="7" fillId="51" borderId="105" xfId="0" applyFont="1" applyFill="1" applyBorder="1" applyAlignment="1">
      <alignment wrapText="1"/>
    </xf>
    <xf numFmtId="0" fontId="7" fillId="51" borderId="123" xfId="0" applyFont="1" applyFill="1" applyBorder="1" applyAlignment="1">
      <alignment wrapText="1"/>
    </xf>
    <xf numFmtId="0" fontId="7" fillId="51" borderId="106" xfId="0" applyFont="1" applyFill="1" applyBorder="1" applyAlignment="1">
      <alignment wrapText="1"/>
    </xf>
    <xf numFmtId="0" fontId="20" fillId="52" borderId="121" xfId="0" applyFont="1" applyFill="1" applyBorder="1" applyAlignment="1">
      <alignment vertical="center" wrapText="1"/>
    </xf>
    <xf numFmtId="177" fontId="20" fillId="48" borderId="84" xfId="47" applyNumberFormat="1" applyFont="1" applyFill="1" applyBorder="1"/>
    <xf numFmtId="177" fontId="20" fillId="48" borderId="57" xfId="47" applyNumberFormat="1" applyFont="1" applyFill="1" applyBorder="1"/>
    <xf numFmtId="0" fontId="7" fillId="49" borderId="51" xfId="0" applyFont="1" applyFill="1" applyBorder="1" applyAlignment="1">
      <alignment wrapText="1"/>
    </xf>
    <xf numFmtId="0" fontId="7" fillId="31" borderId="101" xfId="0" applyFont="1" applyFill="1" applyBorder="1" applyAlignment="1">
      <alignment wrapText="1"/>
    </xf>
    <xf numFmtId="0" fontId="0" fillId="49" borderId="113" xfId="0" applyFill="1" applyBorder="1" applyAlignment="1">
      <alignment wrapText="1"/>
    </xf>
    <xf numFmtId="0" fontId="7" fillId="49" borderId="10" xfId="0" applyFont="1" applyFill="1" applyBorder="1"/>
    <xf numFmtId="0" fontId="7" fillId="49" borderId="11" xfId="0" applyFont="1" applyFill="1" applyBorder="1"/>
    <xf numFmtId="0" fontId="7" fillId="49" borderId="12" xfId="0" applyFont="1" applyFill="1" applyBorder="1"/>
    <xf numFmtId="0" fontId="7" fillId="31" borderId="12" xfId="0" applyFont="1" applyFill="1" applyBorder="1" applyAlignment="1">
      <alignment horizontal="center" vertical="center"/>
    </xf>
    <xf numFmtId="0" fontId="7" fillId="49" borderId="68" xfId="0" applyFont="1" applyFill="1" applyBorder="1" applyAlignment="1">
      <alignment horizontal="center" vertical="center"/>
    </xf>
    <xf numFmtId="0" fontId="7" fillId="49" borderId="66" xfId="0" applyFont="1" applyFill="1" applyBorder="1" applyAlignment="1">
      <alignment horizontal="center" vertical="center"/>
    </xf>
    <xf numFmtId="0" fontId="7" fillId="49" borderId="77" xfId="0" applyFont="1" applyFill="1" applyBorder="1" applyAlignment="1">
      <alignment horizontal="center" vertical="center"/>
    </xf>
    <xf numFmtId="0" fontId="61" fillId="49" borderId="77" xfId="0" applyFont="1" applyFill="1" applyBorder="1" applyAlignment="1">
      <alignment horizontal="center" vertical="center" wrapText="1"/>
    </xf>
    <xf numFmtId="0" fontId="61" fillId="49" borderId="68" xfId="0" applyFont="1" applyFill="1" applyBorder="1" applyAlignment="1">
      <alignment horizontal="center" vertical="center" wrapText="1"/>
    </xf>
    <xf numFmtId="0" fontId="61" fillId="49" borderId="66" xfId="0" applyFont="1" applyFill="1" applyBorder="1" applyAlignment="1">
      <alignment horizontal="center" vertical="center" wrapText="1"/>
    </xf>
    <xf numFmtId="0" fontId="7" fillId="49" borderId="136" xfId="0" applyFont="1" applyFill="1" applyBorder="1" applyAlignment="1">
      <alignment horizontal="center" vertical="center"/>
    </xf>
    <xf numFmtId="0" fontId="7" fillId="49" borderId="152" xfId="0" applyFont="1" applyFill="1" applyBorder="1" applyAlignment="1">
      <alignment horizontal="center" vertical="center"/>
    </xf>
    <xf numFmtId="0" fontId="7" fillId="49" borderId="113" xfId="0" applyFont="1" applyFill="1" applyBorder="1" applyAlignment="1">
      <alignment horizontal="center" vertical="center"/>
    </xf>
    <xf numFmtId="0" fontId="7" fillId="49" borderId="139" xfId="0" applyFont="1" applyFill="1" applyBorder="1" applyAlignment="1">
      <alignment horizontal="center" vertical="center"/>
    </xf>
    <xf numFmtId="0" fontId="7" fillId="49" borderId="79" xfId="0" applyFont="1" applyFill="1" applyBorder="1" applyAlignment="1">
      <alignment horizontal="center" vertical="center"/>
    </xf>
    <xf numFmtId="0" fontId="7" fillId="49" borderId="0" xfId="0" applyFont="1" applyFill="1" applyAlignment="1">
      <alignment horizontal="center" vertical="center"/>
    </xf>
    <xf numFmtId="0" fontId="7" fillId="49" borderId="79" xfId="0" applyFont="1" applyFill="1" applyBorder="1" applyAlignment="1">
      <alignment horizontal="center" vertical="center" wrapText="1"/>
    </xf>
    <xf numFmtId="0" fontId="7" fillId="0" borderId="0" xfId="0" applyFont="1" applyAlignment="1">
      <alignment horizontal="center"/>
    </xf>
    <xf numFmtId="0" fontId="7" fillId="49" borderId="105" xfId="47" applyNumberFormat="1" applyFont="1" applyFill="1" applyBorder="1" applyAlignment="1">
      <alignment wrapText="1"/>
    </xf>
    <xf numFmtId="0" fontId="7" fillId="49" borderId="6" xfId="47" applyNumberFormat="1" applyFont="1" applyFill="1" applyBorder="1" applyAlignment="1">
      <alignment wrapText="1"/>
    </xf>
    <xf numFmtId="0" fontId="0" fillId="52" borderId="22" xfId="0" applyFill="1" applyBorder="1" applyAlignment="1">
      <alignment wrapText="1"/>
    </xf>
    <xf numFmtId="191" fontId="0" fillId="48" borderId="4" xfId="47" applyNumberFormat="1" applyFont="1" applyFill="1" applyBorder="1"/>
    <xf numFmtId="0" fontId="0" fillId="52" borderId="61" xfId="0" applyFill="1" applyBorder="1" applyAlignment="1">
      <alignment wrapText="1"/>
    </xf>
    <xf numFmtId="0" fontId="0" fillId="52" borderId="58" xfId="0" applyFill="1" applyBorder="1" applyAlignment="1">
      <alignment wrapText="1"/>
    </xf>
    <xf numFmtId="0" fontId="7" fillId="31" borderId="14" xfId="0" applyFont="1" applyFill="1" applyBorder="1" applyAlignment="1">
      <alignment wrapText="1"/>
    </xf>
    <xf numFmtId="0" fontId="7" fillId="31" borderId="15" xfId="0" applyFont="1" applyFill="1" applyBorder="1" applyAlignment="1">
      <alignment wrapText="1"/>
    </xf>
    <xf numFmtId="0" fontId="7" fillId="31" borderId="14" xfId="0" applyFont="1" applyFill="1" applyBorder="1" applyAlignment="1">
      <alignment horizontal="center" wrapText="1"/>
    </xf>
    <xf numFmtId="0" fontId="7" fillId="31" borderId="15" xfId="0" applyFont="1" applyFill="1" applyBorder="1" applyAlignment="1">
      <alignment horizontal="center" wrapText="1"/>
    </xf>
    <xf numFmtId="0" fontId="7" fillId="31" borderId="101" xfId="0" applyFont="1" applyFill="1" applyBorder="1" applyAlignment="1">
      <alignment horizontal="center" wrapText="1"/>
    </xf>
    <xf numFmtId="0" fontId="7" fillId="31" borderId="133" xfId="0" applyFont="1" applyFill="1" applyBorder="1" applyAlignment="1">
      <alignment wrapText="1"/>
    </xf>
    <xf numFmtId="0" fontId="7" fillId="31" borderId="16" xfId="0" applyFont="1" applyFill="1" applyBorder="1" applyAlignment="1">
      <alignment wrapText="1"/>
    </xf>
    <xf numFmtId="2" fontId="0" fillId="48" borderId="4" xfId="0" applyNumberFormat="1" applyFill="1" applyBorder="1" applyAlignment="1">
      <alignment wrapText="1"/>
    </xf>
    <xf numFmtId="2" fontId="0" fillId="48" borderId="11" xfId="0" applyNumberFormat="1" applyFill="1" applyBorder="1" applyAlignment="1">
      <alignment wrapText="1"/>
    </xf>
    <xf numFmtId="0" fontId="0" fillId="52" borderId="6" xfId="0" applyFill="1" applyBorder="1" applyAlignment="1">
      <alignment horizontal="left" wrapText="1"/>
    </xf>
    <xf numFmtId="0" fontId="0" fillId="52" borderId="4" xfId="0" applyFill="1" applyBorder="1" applyAlignment="1">
      <alignment horizontal="left" wrapText="1"/>
    </xf>
    <xf numFmtId="0" fontId="0" fillId="52" borderId="11" xfId="0" applyFill="1" applyBorder="1" applyAlignment="1">
      <alignment horizontal="left" wrapText="1"/>
    </xf>
    <xf numFmtId="2" fontId="0" fillId="48" borderId="102" xfId="0" applyNumberFormat="1" applyFill="1" applyBorder="1"/>
    <xf numFmtId="2" fontId="0" fillId="48" borderId="103" xfId="0" applyNumberFormat="1" applyFill="1" applyBorder="1"/>
    <xf numFmtId="2" fontId="0" fillId="48" borderId="104" xfId="0" applyNumberFormat="1" applyFill="1" applyBorder="1"/>
    <xf numFmtId="0" fontId="20" fillId="42" borderId="113" xfId="0" applyFont="1" applyFill="1" applyBorder="1" applyAlignment="1">
      <alignment vertical="center"/>
    </xf>
    <xf numFmtId="0" fontId="20" fillId="42" borderId="4" xfId="0" applyFont="1" applyFill="1" applyBorder="1" applyAlignment="1">
      <alignment vertical="center"/>
    </xf>
    <xf numFmtId="0" fontId="20" fillId="52" borderId="80" xfId="0" applyFont="1" applyFill="1" applyBorder="1" applyAlignment="1" applyProtection="1">
      <alignment horizontal="left"/>
      <protection locked="0"/>
    </xf>
    <xf numFmtId="0" fontId="61" fillId="31" borderId="72" xfId="0" applyFont="1" applyFill="1" applyBorder="1" applyAlignment="1">
      <alignment vertical="center"/>
    </xf>
    <xf numFmtId="43" fontId="0" fillId="60" borderId="13" xfId="47" applyFont="1" applyFill="1" applyBorder="1" applyAlignment="1">
      <alignment horizontal="center" wrapText="1"/>
    </xf>
    <xf numFmtId="43" fontId="0" fillId="60" borderId="13" xfId="47" applyFont="1" applyFill="1" applyBorder="1" applyAlignment="1">
      <alignment horizontal="center" vertical="center" wrapText="1"/>
    </xf>
    <xf numFmtId="0" fontId="0" fillId="41" borderId="74" xfId="0" applyFill="1" applyBorder="1"/>
    <xf numFmtId="0" fontId="0" fillId="31" borderId="15" xfId="0" applyFill="1" applyBorder="1" applyAlignment="1">
      <alignment wrapText="1"/>
    </xf>
    <xf numFmtId="0" fontId="0" fillId="31" borderId="68" xfId="0" applyFill="1" applyBorder="1" applyAlignment="1">
      <alignment horizontal="left" wrapText="1"/>
    </xf>
    <xf numFmtId="0" fontId="7" fillId="49" borderId="68" xfId="0" applyFont="1" applyFill="1" applyBorder="1" applyAlignment="1">
      <alignment horizontal="center" vertical="center" wrapText="1"/>
    </xf>
    <xf numFmtId="0" fontId="0" fillId="52" borderId="13" xfId="0" applyFill="1" applyBorder="1" applyAlignment="1">
      <alignment horizontal="center"/>
    </xf>
    <xf numFmtId="0" fontId="0" fillId="52" borderId="11" xfId="0" applyFill="1" applyBorder="1" applyAlignment="1">
      <alignment horizontal="center"/>
    </xf>
    <xf numFmtId="0" fontId="0" fillId="49" borderId="152" xfId="0" applyFill="1" applyBorder="1" applyAlignment="1">
      <alignment wrapText="1"/>
    </xf>
    <xf numFmtId="0" fontId="0" fillId="49" borderId="113" xfId="0" applyFill="1" applyBorder="1" applyAlignment="1">
      <alignment horizontal="left" wrapText="1"/>
    </xf>
    <xf numFmtId="0" fontId="0" fillId="49" borderId="68" xfId="0" applyFill="1" applyBorder="1" applyAlignment="1">
      <alignment wrapText="1"/>
    </xf>
    <xf numFmtId="0" fontId="0" fillId="49" borderId="139" xfId="0" applyFill="1" applyBorder="1" applyAlignment="1">
      <alignment wrapText="1"/>
    </xf>
    <xf numFmtId="0" fontId="0" fillId="49" borderId="77" xfId="0" applyFill="1" applyBorder="1" applyAlignment="1">
      <alignment wrapText="1"/>
    </xf>
    <xf numFmtId="0" fontId="0" fillId="49" borderId="66" xfId="0" applyFill="1" applyBorder="1" applyAlignment="1">
      <alignment wrapText="1"/>
    </xf>
    <xf numFmtId="0" fontId="7" fillId="49" borderId="14" xfId="0" applyFont="1" applyFill="1" applyBorder="1" applyAlignment="1">
      <alignment wrapText="1"/>
    </xf>
    <xf numFmtId="0" fontId="7" fillId="49" borderId="15" xfId="0" applyFont="1" applyFill="1" applyBorder="1" applyAlignment="1">
      <alignment horizontal="left" wrapText="1"/>
    </xf>
    <xf numFmtId="0" fontId="78" fillId="49" borderId="15" xfId="0" applyFont="1" applyFill="1" applyBorder="1" applyAlignment="1">
      <alignment wrapText="1"/>
    </xf>
    <xf numFmtId="0" fontId="78" fillId="49" borderId="16" xfId="0" applyFont="1" applyFill="1" applyBorder="1" applyAlignment="1">
      <alignment wrapText="1"/>
    </xf>
    <xf numFmtId="0" fontId="0" fillId="48" borderId="123" xfId="0" applyFill="1" applyBorder="1"/>
    <xf numFmtId="189" fontId="0" fillId="60" borderId="13" xfId="47" applyNumberFormat="1" applyFont="1" applyFill="1" applyBorder="1" applyAlignment="1">
      <alignment horizontal="center" wrapText="1"/>
    </xf>
    <xf numFmtId="0" fontId="0" fillId="47" borderId="13" xfId="0" applyFill="1" applyBorder="1" applyAlignment="1">
      <alignment horizontal="left"/>
    </xf>
    <xf numFmtId="0" fontId="0" fillId="47" borderId="22" xfId="0" applyFill="1" applyBorder="1"/>
    <xf numFmtId="0" fontId="0" fillId="47" borderId="59" xfId="0" applyFill="1" applyBorder="1" applyAlignment="1">
      <alignment horizontal="left"/>
    </xf>
    <xf numFmtId="0" fontId="7" fillId="31" borderId="137" xfId="0" applyFont="1" applyFill="1" applyBorder="1" applyAlignment="1">
      <alignment wrapText="1"/>
    </xf>
    <xf numFmtId="0" fontId="20" fillId="52" borderId="5" xfId="0" applyFont="1" applyFill="1" applyBorder="1" applyAlignment="1">
      <alignment vertical="center" wrapText="1"/>
    </xf>
    <xf numFmtId="0" fontId="20" fillId="52" borderId="8" xfId="0" applyFont="1" applyFill="1" applyBorder="1" applyAlignment="1">
      <alignment vertical="center" wrapText="1"/>
    </xf>
    <xf numFmtId="0" fontId="20" fillId="52" borderId="10" xfId="0" applyFont="1" applyFill="1" applyBorder="1" applyAlignment="1">
      <alignment vertical="center" wrapText="1"/>
    </xf>
    <xf numFmtId="2" fontId="0" fillId="60" borderId="13" xfId="47" applyNumberFormat="1" applyFont="1" applyFill="1" applyBorder="1" applyAlignment="1">
      <alignment wrapText="1"/>
    </xf>
    <xf numFmtId="2" fontId="0" fillId="60" borderId="4" xfId="47" applyNumberFormat="1" applyFont="1" applyFill="1" applyBorder="1" applyAlignment="1">
      <alignment wrapText="1"/>
    </xf>
    <xf numFmtId="2" fontId="0" fillId="60" borderId="84" xfId="47" applyNumberFormat="1" applyFont="1" applyFill="1" applyBorder="1" applyAlignment="1">
      <alignment wrapText="1"/>
    </xf>
    <xf numFmtId="2" fontId="0" fillId="60" borderId="57" xfId="47" applyNumberFormat="1" applyFont="1" applyFill="1" applyBorder="1" applyAlignment="1">
      <alignment wrapText="1"/>
    </xf>
    <xf numFmtId="2" fontId="0" fillId="60" borderId="123" xfId="47" applyNumberFormat="1" applyFont="1" applyFill="1" applyBorder="1" applyAlignment="1">
      <alignment wrapText="1"/>
    </xf>
    <xf numFmtId="2" fontId="0" fillId="60" borderId="106" xfId="47" applyNumberFormat="1" applyFont="1" applyFill="1" applyBorder="1" applyAlignment="1">
      <alignment wrapText="1"/>
    </xf>
    <xf numFmtId="2" fontId="0" fillId="60" borderId="16" xfId="47" applyNumberFormat="1" applyFont="1" applyFill="1" applyBorder="1" applyAlignment="1">
      <alignment wrapText="1"/>
    </xf>
    <xf numFmtId="2" fontId="0" fillId="60" borderId="14" xfId="47" applyNumberFormat="1" applyFont="1" applyFill="1" applyBorder="1" applyAlignment="1">
      <alignment wrapText="1"/>
    </xf>
    <xf numFmtId="2" fontId="0" fillId="60" borderId="15" xfId="47" applyNumberFormat="1" applyFont="1" applyFill="1" applyBorder="1" applyAlignment="1">
      <alignment wrapText="1"/>
    </xf>
    <xf numFmtId="2" fontId="0" fillId="60" borderId="137" xfId="47" applyNumberFormat="1" applyFont="1" applyFill="1" applyBorder="1" applyAlignment="1">
      <alignment wrapText="1"/>
    </xf>
    <xf numFmtId="2" fontId="0" fillId="60" borderId="72" xfId="47" applyNumberFormat="1" applyFont="1" applyFill="1" applyBorder="1" applyAlignment="1">
      <alignment wrapText="1"/>
    </xf>
    <xf numFmtId="2" fontId="0" fillId="60" borderId="101" xfId="47" applyNumberFormat="1" applyFont="1" applyFill="1" applyBorder="1" applyAlignment="1">
      <alignment wrapText="1"/>
    </xf>
    <xf numFmtId="0" fontId="0" fillId="52" borderId="6" xfId="0" applyFill="1" applyBorder="1" applyAlignment="1">
      <alignment horizontal="center"/>
    </xf>
    <xf numFmtId="0" fontId="0" fillId="48" borderId="80" xfId="0" applyFill="1" applyBorder="1"/>
    <xf numFmtId="0" fontId="7" fillId="31" borderId="154" xfId="0" applyFont="1" applyFill="1" applyBorder="1" applyAlignment="1">
      <alignment wrapText="1"/>
    </xf>
    <xf numFmtId="0" fontId="7" fillId="49" borderId="22" xfId="0" applyFont="1" applyFill="1" applyBorder="1" applyAlignment="1">
      <alignment wrapText="1"/>
    </xf>
    <xf numFmtId="0" fontId="7" fillId="49" borderId="13" xfId="0" applyFont="1" applyFill="1" applyBorder="1"/>
    <xf numFmtId="0" fontId="7" fillId="49" borderId="13" xfId="0" applyFont="1" applyFill="1" applyBorder="1" applyAlignment="1">
      <alignment wrapText="1"/>
    </xf>
    <xf numFmtId="177" fontId="7" fillId="49" borderId="13" xfId="47" applyNumberFormat="1" applyFont="1" applyFill="1" applyBorder="1" applyAlignment="1">
      <alignment wrapText="1"/>
    </xf>
    <xf numFmtId="177" fontId="7" fillId="49" borderId="13" xfId="47" applyNumberFormat="1" applyFont="1" applyFill="1" applyBorder="1"/>
    <xf numFmtId="0" fontId="0" fillId="48" borderId="75" xfId="0" applyFill="1" applyBorder="1" applyAlignment="1">
      <alignment wrapText="1"/>
    </xf>
    <xf numFmtId="0" fontId="92" fillId="49" borderId="14" xfId="30" applyFont="1" applyFill="1" applyBorder="1" applyAlignment="1">
      <alignment wrapText="1"/>
    </xf>
    <xf numFmtId="0" fontId="92" fillId="49" borderId="15" xfId="30" applyFont="1" applyFill="1" applyBorder="1" applyAlignment="1">
      <alignment wrapText="1"/>
    </xf>
    <xf numFmtId="0" fontId="7" fillId="49" borderId="101" xfId="0" applyFont="1" applyFill="1" applyBorder="1" applyAlignment="1">
      <alignment wrapText="1"/>
    </xf>
    <xf numFmtId="0" fontId="13" fillId="56" borderId="69" xfId="86" applyFill="1" applyBorder="1" applyAlignment="1">
      <alignment horizontal="left" vertical="center" wrapText="1"/>
    </xf>
    <xf numFmtId="166" fontId="13" fillId="0" borderId="71" xfId="87" applyNumberFormat="1" applyFont="1" applyBorder="1">
      <alignment horizontal="center" vertical="center"/>
    </xf>
    <xf numFmtId="166" fontId="13" fillId="0" borderId="76" xfId="87" applyNumberFormat="1" applyFont="1" applyBorder="1">
      <alignment horizontal="center" vertical="center"/>
    </xf>
    <xf numFmtId="166" fontId="0" fillId="48" borderId="13" xfId="0" applyNumberFormat="1" applyFill="1" applyBorder="1"/>
    <xf numFmtId="166" fontId="0" fillId="48" borderId="4" xfId="0" applyNumberFormat="1" applyFill="1" applyBorder="1"/>
    <xf numFmtId="0" fontId="7" fillId="49" borderId="5" xfId="0" applyFont="1" applyFill="1" applyBorder="1" applyAlignment="1">
      <alignment horizontal="center" vertical="center" wrapText="1"/>
    </xf>
    <xf numFmtId="0" fontId="7" fillId="49" borderId="61" xfId="0" applyFont="1" applyFill="1" applyBorder="1" applyAlignment="1">
      <alignment horizontal="center" vertical="center" wrapText="1"/>
    </xf>
    <xf numFmtId="0" fontId="7" fillId="49" borderId="6" xfId="0" applyFont="1" applyFill="1" applyBorder="1" applyAlignment="1">
      <alignment horizontal="center" vertical="center" wrapText="1"/>
    </xf>
    <xf numFmtId="2" fontId="7" fillId="49" borderId="6" xfId="0" applyNumberFormat="1" applyFont="1" applyFill="1" applyBorder="1" applyAlignment="1">
      <alignment horizontal="center" vertical="center" wrapText="1"/>
    </xf>
    <xf numFmtId="43" fontId="7" fillId="49" borderId="6" xfId="47" applyFont="1" applyFill="1" applyBorder="1" applyAlignment="1">
      <alignment horizontal="center" vertical="center" wrapText="1"/>
    </xf>
    <xf numFmtId="0" fontId="7" fillId="49" borderId="7" xfId="0" applyFont="1" applyFill="1" applyBorder="1" applyAlignment="1">
      <alignment horizontal="center" vertical="center" wrapText="1"/>
    </xf>
    <xf numFmtId="0" fontId="0" fillId="31" borderId="11" xfId="0" applyFill="1" applyBorder="1" applyAlignment="1">
      <alignment vertical="center"/>
    </xf>
    <xf numFmtId="2" fontId="0" fillId="31" borderId="11" xfId="0" applyNumberFormat="1" applyFill="1" applyBorder="1" applyAlignment="1">
      <alignment vertical="center"/>
    </xf>
    <xf numFmtId="0" fontId="0" fillId="48" borderId="6" xfId="0" applyFill="1" applyBorder="1" applyAlignment="1">
      <alignment horizontal="center" vertical="center"/>
    </xf>
    <xf numFmtId="0" fontId="0" fillId="48" borderId="4" xfId="0" applyFill="1" applyBorder="1" applyAlignment="1">
      <alignment horizontal="center" vertical="center"/>
    </xf>
    <xf numFmtId="0" fontId="0" fillId="48" borderId="11" xfId="0" applyFill="1" applyBorder="1" applyAlignment="1">
      <alignment horizontal="center" vertical="center"/>
    </xf>
    <xf numFmtId="0" fontId="7" fillId="50" borderId="72" xfId="0" applyFont="1" applyFill="1" applyBorder="1" applyAlignment="1">
      <alignment horizontal="left" vertical="center" wrapText="1"/>
    </xf>
    <xf numFmtId="0" fontId="7" fillId="47" borderId="101" xfId="0" applyFont="1" applyFill="1" applyBorder="1" applyAlignment="1">
      <alignment horizontal="center" vertical="center" wrapText="1"/>
    </xf>
    <xf numFmtId="0" fontId="7" fillId="31" borderId="14" xfId="0" applyFont="1" applyFill="1" applyBorder="1" applyAlignment="1">
      <alignment horizontal="center" vertical="center" wrapText="1"/>
    </xf>
    <xf numFmtId="0" fontId="7" fillId="31" borderId="16" xfId="0" applyFont="1" applyFill="1" applyBorder="1" applyAlignment="1">
      <alignment horizontal="center" vertical="center" wrapText="1"/>
    </xf>
    <xf numFmtId="2" fontId="7" fillId="31" borderId="6" xfId="0" applyNumberFormat="1" applyFont="1" applyFill="1" applyBorder="1" applyAlignment="1">
      <alignment horizontal="center" vertical="center" wrapText="1"/>
    </xf>
    <xf numFmtId="2" fontId="7" fillId="31" borderId="11" xfId="0" applyNumberFormat="1" applyFont="1" applyFill="1" applyBorder="1" applyAlignment="1">
      <alignment horizontal="center" vertical="center" wrapText="1"/>
    </xf>
    <xf numFmtId="0" fontId="0" fillId="31" borderId="69" xfId="0" applyFill="1" applyBorder="1"/>
    <xf numFmtId="0" fontId="60" fillId="48" borderId="8" xfId="0" applyFont="1" applyFill="1" applyBorder="1" applyAlignment="1">
      <alignment vertical="center"/>
    </xf>
    <xf numFmtId="9" fontId="0" fillId="48" borderId="4" xfId="82" applyFont="1" applyFill="1" applyBorder="1"/>
    <xf numFmtId="166" fontId="0" fillId="48" borderId="4" xfId="0" applyNumberFormat="1" applyFill="1" applyBorder="1" applyAlignment="1">
      <alignment wrapText="1"/>
    </xf>
    <xf numFmtId="0" fontId="19" fillId="0" borderId="0" xfId="0" applyFont="1"/>
    <xf numFmtId="0" fontId="60" fillId="48" borderId="10" xfId="0" applyFont="1" applyFill="1" applyBorder="1" applyAlignment="1">
      <alignment vertical="center"/>
    </xf>
    <xf numFmtId="166" fontId="0" fillId="48" borderId="11" xfId="0" applyNumberFormat="1" applyFill="1" applyBorder="1" applyAlignment="1">
      <alignment wrapText="1"/>
    </xf>
    <xf numFmtId="0" fontId="9" fillId="0" borderId="0" xfId="30" applyFill="1" applyBorder="1" applyAlignment="1">
      <alignment wrapText="1"/>
    </xf>
    <xf numFmtId="0" fontId="19" fillId="0" borderId="0" xfId="0" applyFont="1" applyAlignment="1">
      <alignment wrapText="1"/>
    </xf>
    <xf numFmtId="0" fontId="19" fillId="31" borderId="5" xfId="0" applyFont="1" applyFill="1" applyBorder="1"/>
    <xf numFmtId="0" fontId="0" fillId="31" borderId="7" xfId="0" applyFill="1" applyBorder="1"/>
    <xf numFmtId="0" fontId="19" fillId="31" borderId="10" xfId="0" applyFont="1" applyFill="1" applyBorder="1"/>
    <xf numFmtId="0" fontId="19" fillId="0" borderId="0" xfId="0" applyFont="1" applyAlignment="1">
      <alignment horizontal="center"/>
    </xf>
    <xf numFmtId="0" fontId="60" fillId="52" borderId="4" xfId="0" applyFont="1" applyFill="1" applyBorder="1" applyAlignment="1">
      <alignment vertical="center"/>
    </xf>
    <xf numFmtId="166" fontId="19" fillId="48" borderId="4" xfId="0" applyNumberFormat="1" applyFont="1" applyFill="1" applyBorder="1" applyAlignment="1">
      <alignment horizontal="center"/>
    </xf>
    <xf numFmtId="166" fontId="19" fillId="48" borderId="9" xfId="0" applyNumberFormat="1" applyFont="1" applyFill="1" applyBorder="1" applyAlignment="1">
      <alignment horizontal="center"/>
    </xf>
    <xf numFmtId="166" fontId="19" fillId="48" borderId="11" xfId="0" applyNumberFormat="1" applyFont="1" applyFill="1" applyBorder="1" applyAlignment="1">
      <alignment horizontal="center"/>
    </xf>
    <xf numFmtId="166" fontId="19" fillId="48" borderId="12" xfId="0" applyNumberFormat="1" applyFont="1" applyFill="1" applyBorder="1" applyAlignment="1">
      <alignment horizontal="center"/>
    </xf>
    <xf numFmtId="0" fontId="0" fillId="31" borderId="101" xfId="0" applyFill="1" applyBorder="1" applyAlignment="1">
      <alignment horizontal="center" vertical="center" wrapText="1"/>
    </xf>
    <xf numFmtId="0" fontId="7" fillId="0" borderId="0" xfId="0" applyFont="1" applyAlignment="1">
      <alignment horizontal="center" vertical="center" wrapText="1"/>
    </xf>
    <xf numFmtId="43" fontId="0" fillId="0" borderId="0" xfId="47" applyFont="1" applyFill="1" applyBorder="1" applyAlignment="1">
      <alignment horizontal="center" vertical="center"/>
    </xf>
    <xf numFmtId="0" fontId="0" fillId="48" borderId="110" xfId="0" applyFill="1" applyBorder="1" applyAlignment="1">
      <alignment wrapText="1"/>
    </xf>
    <xf numFmtId="0" fontId="7" fillId="31" borderId="133" xfId="0" applyFont="1" applyFill="1" applyBorder="1" applyAlignment="1">
      <alignment horizontal="center" vertical="center" wrapText="1"/>
    </xf>
    <xf numFmtId="43" fontId="0" fillId="48" borderId="54" xfId="47" applyFont="1" applyFill="1" applyBorder="1" applyAlignment="1">
      <alignment horizontal="center" vertical="center"/>
    </xf>
    <xf numFmtId="2" fontId="0" fillId="48" borderId="105" xfId="0" applyNumberFormat="1" applyFill="1" applyBorder="1"/>
    <xf numFmtId="2" fontId="0" fillId="48" borderId="106" xfId="0" applyNumberFormat="1" applyFill="1" applyBorder="1"/>
    <xf numFmtId="2" fontId="0" fillId="48" borderId="101" xfId="0" applyNumberFormat="1" applyFill="1" applyBorder="1"/>
    <xf numFmtId="2" fontId="0" fillId="48" borderId="123" xfId="0" applyNumberFormat="1" applyFill="1" applyBorder="1"/>
    <xf numFmtId="2" fontId="0" fillId="48" borderId="107" xfId="0" applyNumberFormat="1" applyFill="1" applyBorder="1"/>
    <xf numFmtId="0" fontId="7" fillId="31" borderId="15" xfId="0" applyFont="1" applyFill="1" applyBorder="1" applyAlignment="1">
      <alignment horizontal="center" vertical="center" wrapText="1"/>
    </xf>
    <xf numFmtId="0" fontId="94" fillId="0" borderId="0" xfId="0" applyFont="1"/>
    <xf numFmtId="0" fontId="7" fillId="31" borderId="65" xfId="0" applyFont="1" applyFill="1" applyBorder="1"/>
    <xf numFmtId="43" fontId="0" fillId="0" borderId="7" xfId="47" applyFont="1" applyBorder="1"/>
    <xf numFmtId="43" fontId="0" fillId="0" borderId="9" xfId="47" applyFont="1" applyBorder="1"/>
    <xf numFmtId="43" fontId="0" fillId="0" borderId="12" xfId="47" applyFont="1" applyBorder="1"/>
    <xf numFmtId="0" fontId="0" fillId="31" borderId="71" xfId="0" applyFill="1" applyBorder="1" applyAlignment="1">
      <alignment wrapText="1"/>
    </xf>
    <xf numFmtId="0" fontId="60" fillId="48" borderId="5" xfId="0" applyFont="1" applyFill="1" applyBorder="1" applyAlignment="1">
      <alignment vertical="center"/>
    </xf>
    <xf numFmtId="166" fontId="0" fillId="48" borderId="6" xfId="0" applyNumberFormat="1" applyFill="1" applyBorder="1" applyAlignment="1">
      <alignment wrapText="1"/>
    </xf>
    <xf numFmtId="9" fontId="0" fillId="48" borderId="11" xfId="82" applyFont="1" applyFill="1" applyBorder="1"/>
    <xf numFmtId="43" fontId="0" fillId="0" borderId="0" xfId="47" applyFont="1" applyAlignment="1">
      <alignment wrapText="1"/>
    </xf>
    <xf numFmtId="2" fontId="0" fillId="0" borderId="0" xfId="0" applyNumberFormat="1" applyAlignment="1">
      <alignment wrapText="1"/>
    </xf>
    <xf numFmtId="0" fontId="0" fillId="48" borderId="6" xfId="0" applyFill="1" applyBorder="1" applyAlignment="1">
      <alignment horizontal="center" wrapText="1"/>
    </xf>
    <xf numFmtId="0" fontId="0" fillId="48" borderId="4" xfId="0" applyFill="1" applyBorder="1" applyAlignment="1">
      <alignment horizontal="center" wrapText="1"/>
    </xf>
    <xf numFmtId="0" fontId="0" fillId="48" borderId="11" xfId="0" applyFill="1" applyBorder="1" applyAlignment="1">
      <alignment horizontal="center" wrapText="1"/>
    </xf>
    <xf numFmtId="0" fontId="0" fillId="48" borderId="6" xfId="0" applyFill="1" applyBorder="1" applyAlignment="1">
      <alignment horizontal="center"/>
    </xf>
    <xf numFmtId="0" fontId="0" fillId="48" borderId="4" xfId="0" applyFill="1" applyBorder="1" applyAlignment="1">
      <alignment horizontal="center"/>
    </xf>
    <xf numFmtId="0" fontId="0" fillId="48" borderId="11" xfId="0" applyFill="1" applyBorder="1" applyAlignment="1">
      <alignment horizontal="center"/>
    </xf>
    <xf numFmtId="1" fontId="0" fillId="52" borderId="4" xfId="0" applyNumberFormat="1" applyFill="1" applyBorder="1"/>
    <xf numFmtId="1" fontId="0" fillId="52" borderId="11" xfId="0" applyNumberFormat="1" applyFill="1" applyBorder="1"/>
    <xf numFmtId="166" fontId="0" fillId="48" borderId="11" xfId="0" applyNumberFormat="1" applyFill="1" applyBorder="1"/>
    <xf numFmtId="2" fontId="0" fillId="48" borderId="13" xfId="47" applyNumberFormat="1" applyFont="1" applyFill="1" applyBorder="1"/>
    <xf numFmtId="2" fontId="0" fillId="48" borderId="59" xfId="47" applyNumberFormat="1" applyFont="1" applyFill="1" applyBorder="1"/>
    <xf numFmtId="2" fontId="0" fillId="48" borderId="4" xfId="47" applyNumberFormat="1" applyFont="1" applyFill="1" applyBorder="1"/>
    <xf numFmtId="2" fontId="0" fillId="48" borderId="9" xfId="47" applyNumberFormat="1" applyFont="1" applyFill="1" applyBorder="1"/>
    <xf numFmtId="2" fontId="0" fillId="48" borderId="11" xfId="47" applyNumberFormat="1" applyFont="1" applyFill="1" applyBorder="1"/>
    <xf numFmtId="2" fontId="0" fillId="48" borderId="12" xfId="47" applyNumberFormat="1" applyFont="1" applyFill="1" applyBorder="1"/>
    <xf numFmtId="43" fontId="0" fillId="0" borderId="0" xfId="47" applyFont="1" applyAlignment="1">
      <alignment vertical="center"/>
    </xf>
    <xf numFmtId="0" fontId="0" fillId="0" borderId="0" xfId="0" applyAlignment="1">
      <alignment horizontal="left" vertical="center"/>
    </xf>
    <xf numFmtId="0" fontId="0" fillId="31" borderId="6" xfId="0" applyFill="1" applyBorder="1" applyAlignment="1">
      <alignment horizontal="left" vertical="center"/>
    </xf>
    <xf numFmtId="0" fontId="20" fillId="31" borderId="6" xfId="0" applyFont="1" applyFill="1" applyBorder="1" applyAlignment="1">
      <alignment horizontal="left" vertical="center"/>
    </xf>
    <xf numFmtId="0" fontId="7" fillId="49" borderId="6" xfId="0" applyFont="1" applyFill="1" applyBorder="1" applyAlignment="1">
      <alignment horizontal="left" vertical="center" wrapText="1"/>
    </xf>
    <xf numFmtId="0" fontId="7" fillId="31" borderId="71" xfId="0" applyFont="1" applyFill="1" applyBorder="1" applyAlignment="1">
      <alignment horizontal="left" vertical="center" wrapText="1"/>
    </xf>
    <xf numFmtId="0" fontId="7" fillId="31" borderId="71" xfId="0" applyFont="1" applyFill="1" applyBorder="1" applyAlignment="1">
      <alignment horizontal="left" vertical="center"/>
    </xf>
    <xf numFmtId="177" fontId="7" fillId="31" borderId="71" xfId="47" applyNumberFormat="1" applyFont="1" applyFill="1" applyBorder="1" applyAlignment="1">
      <alignment horizontal="left" vertical="center" wrapText="1"/>
    </xf>
    <xf numFmtId="43" fontId="7" fillId="31" borderId="137" xfId="47" applyFont="1" applyFill="1" applyBorder="1" applyAlignment="1">
      <alignment horizontal="left" vertical="center"/>
    </xf>
    <xf numFmtId="0" fontId="7" fillId="31" borderId="10" xfId="0" applyFont="1" applyFill="1" applyBorder="1" applyAlignment="1">
      <alignment horizontal="left" vertical="center"/>
    </xf>
    <xf numFmtId="0" fontId="7" fillId="31" borderId="12" xfId="0" applyFont="1" applyFill="1" applyBorder="1" applyAlignment="1">
      <alignment horizontal="left" vertical="center"/>
    </xf>
    <xf numFmtId="15" fontId="0" fillId="0" borderId="0" xfId="0" applyNumberFormat="1"/>
    <xf numFmtId="0" fontId="95" fillId="31" borderId="13" xfId="0" applyFont="1" applyFill="1" applyBorder="1" applyAlignment="1">
      <alignment horizontal="center" vertical="center" wrapText="1"/>
    </xf>
    <xf numFmtId="0" fontId="61" fillId="31" borderId="71" xfId="0" applyFont="1" applyFill="1" applyBorder="1" applyAlignment="1">
      <alignment horizontal="left" vertical="center"/>
    </xf>
    <xf numFmtId="0" fontId="61" fillId="31" borderId="113" xfId="0" applyFont="1" applyFill="1" applyBorder="1" applyAlignment="1">
      <alignment horizontal="center" vertical="center"/>
    </xf>
    <xf numFmtId="0" fontId="96" fillId="31" borderId="13" xfId="0" applyFont="1" applyFill="1" applyBorder="1"/>
    <xf numFmtId="0" fontId="20" fillId="31" borderId="139" xfId="0" applyFont="1" applyFill="1" applyBorder="1"/>
    <xf numFmtId="1" fontId="97" fillId="31" borderId="113" xfId="0" applyNumberFormat="1" applyFont="1" applyFill="1" applyBorder="1" applyAlignment="1">
      <alignment horizontal="center"/>
    </xf>
    <xf numFmtId="2" fontId="20" fillId="31" borderId="9" xfId="0" applyNumberFormat="1" applyFont="1" applyFill="1" applyBorder="1" applyAlignment="1">
      <alignment horizontal="center" vertical="center"/>
    </xf>
    <xf numFmtId="0" fontId="61" fillId="31" borderId="140" xfId="0" applyFont="1" applyFill="1" applyBorder="1"/>
    <xf numFmtId="2" fontId="97" fillId="47" borderId="140" xfId="0" applyNumberFormat="1" applyFont="1" applyFill="1" applyBorder="1" applyAlignment="1">
      <alignment horizontal="center" vertical="center"/>
    </xf>
    <xf numFmtId="0" fontId="98" fillId="31" borderId="141" xfId="0" applyFont="1" applyFill="1" applyBorder="1" applyAlignment="1">
      <alignment horizontal="right" vertical="center"/>
    </xf>
    <xf numFmtId="2" fontId="98" fillId="47" borderId="141" xfId="0" applyNumberFormat="1" applyFont="1" applyFill="1" applyBorder="1" applyAlignment="1">
      <alignment horizontal="center" vertical="center"/>
    </xf>
    <xf numFmtId="0" fontId="61" fillId="31" borderId="141" xfId="0" applyFont="1" applyFill="1" applyBorder="1"/>
    <xf numFmtId="2" fontId="97" fillId="47" borderId="141" xfId="0" applyNumberFormat="1" applyFont="1" applyFill="1" applyBorder="1" applyAlignment="1">
      <alignment horizontal="center" vertical="center"/>
    </xf>
    <xf numFmtId="0" fontId="20" fillId="31" borderId="8" xfId="0" applyFont="1" applyFill="1" applyBorder="1" applyAlignment="1">
      <alignment vertical="center"/>
    </xf>
    <xf numFmtId="0" fontId="61" fillId="31" borderId="141" xfId="0" applyFont="1" applyFill="1" applyBorder="1" applyAlignment="1">
      <alignment vertical="center"/>
    </xf>
    <xf numFmtId="0" fontId="61" fillId="31" borderId="142" xfId="0" applyFont="1" applyFill="1" applyBorder="1" applyAlignment="1">
      <alignment vertical="center"/>
    </xf>
    <xf numFmtId="1" fontId="97" fillId="47" borderId="141" xfId="0" applyNumberFormat="1" applyFont="1" applyFill="1" applyBorder="1" applyAlignment="1">
      <alignment horizontal="center" vertical="center"/>
    </xf>
    <xf numFmtId="165" fontId="97" fillId="47" borderId="141" xfId="0" applyNumberFormat="1" applyFont="1" applyFill="1" applyBorder="1" applyAlignment="1">
      <alignment horizontal="center" vertical="center"/>
    </xf>
    <xf numFmtId="0" fontId="61" fillId="31" borderId="139" xfId="0" applyFont="1" applyFill="1" applyBorder="1" applyAlignment="1">
      <alignment vertical="center"/>
    </xf>
    <xf numFmtId="0" fontId="99" fillId="0" borderId="143" xfId="0" applyFont="1" applyBorder="1" applyAlignment="1">
      <alignment vertical="center"/>
    </xf>
    <xf numFmtId="0" fontId="95" fillId="0" borderId="0" xfId="0" applyFont="1"/>
    <xf numFmtId="14" fontId="100" fillId="41" borderId="36" xfId="30" applyNumberFormat="1" applyFont="1" applyFill="1" applyBorder="1" applyAlignment="1">
      <alignment horizontal="left" vertical="center"/>
    </xf>
    <xf numFmtId="0" fontId="0" fillId="31" borderId="6" xfId="0" applyFill="1" applyBorder="1" applyAlignment="1">
      <alignment wrapText="1"/>
    </xf>
    <xf numFmtId="0" fontId="0" fillId="31" borderId="7" xfId="0" applyFill="1" applyBorder="1" applyAlignment="1">
      <alignment wrapText="1"/>
    </xf>
    <xf numFmtId="0" fontId="0" fillId="31" borderId="76" xfId="0" applyFill="1" applyBorder="1"/>
    <xf numFmtId="0" fontId="0" fillId="52" borderId="8" xfId="0" applyFill="1" applyBorder="1"/>
    <xf numFmtId="0" fontId="0" fillId="52" borderId="10" xfId="0" applyFill="1" applyBorder="1"/>
    <xf numFmtId="0" fontId="0" fillId="0" borderId="52" xfId="0" applyBorder="1" applyAlignment="1">
      <alignment horizontal="center" vertical="center" wrapText="1"/>
    </xf>
    <xf numFmtId="0" fontId="7" fillId="49" borderId="80" xfId="0" applyFont="1" applyFill="1" applyBorder="1" applyAlignment="1">
      <alignment vertical="center"/>
    </xf>
    <xf numFmtId="177" fontId="0" fillId="48" borderId="54" xfId="47" applyNumberFormat="1" applyFont="1" applyFill="1" applyBorder="1" applyAlignment="1">
      <alignment horizontal="center" vertical="center"/>
    </xf>
    <xf numFmtId="193" fontId="0" fillId="52" borderId="6" xfId="0" applyNumberFormat="1" applyFill="1" applyBorder="1"/>
    <xf numFmtId="193" fontId="0" fillId="52" borderId="4" xfId="0" applyNumberFormat="1" applyFill="1" applyBorder="1"/>
    <xf numFmtId="193" fontId="0" fillId="52" borderId="11" xfId="0" applyNumberFormat="1" applyFill="1" applyBorder="1"/>
    <xf numFmtId="0" fontId="7" fillId="31" borderId="72" xfId="0" applyFont="1" applyFill="1" applyBorder="1" applyAlignment="1">
      <alignment horizontal="left" vertical="center" wrapText="1"/>
    </xf>
    <xf numFmtId="0" fontId="76" fillId="31" borderId="4" xfId="52" applyFont="1" applyFill="1" applyBorder="1" applyAlignment="1" applyProtection="1">
      <alignment horizontal="left" vertical="top" wrapText="1"/>
      <protection locked="0"/>
    </xf>
    <xf numFmtId="1" fontId="0" fillId="31" borderId="4" xfId="0" applyNumberFormat="1" applyFill="1" applyBorder="1"/>
    <xf numFmtId="1" fontId="0" fillId="0" borderId="4" xfId="0" applyNumberFormat="1" applyBorder="1"/>
    <xf numFmtId="0" fontId="7" fillId="31" borderId="5" xfId="0" applyFont="1" applyFill="1" applyBorder="1"/>
    <xf numFmtId="0" fontId="7" fillId="31" borderId="75" xfId="0" applyFont="1" applyFill="1" applyBorder="1" applyAlignment="1">
      <alignment wrapText="1"/>
    </xf>
    <xf numFmtId="0" fontId="7" fillId="31" borderId="7" xfId="0" applyFont="1" applyFill="1" applyBorder="1" applyAlignment="1">
      <alignment wrapText="1"/>
    </xf>
    <xf numFmtId="0" fontId="7" fillId="49" borderId="101" xfId="0" applyFont="1" applyFill="1" applyBorder="1" applyAlignment="1">
      <alignment horizontal="center" wrapText="1"/>
    </xf>
    <xf numFmtId="0" fontId="7" fillId="49" borderId="78" xfId="0" applyFont="1" applyFill="1" applyBorder="1" applyAlignment="1">
      <alignment wrapText="1"/>
    </xf>
    <xf numFmtId="0" fontId="0" fillId="31" borderId="105" xfId="0" applyFill="1" applyBorder="1"/>
    <xf numFmtId="0" fontId="0" fillId="31" borderId="107" xfId="0" applyFill="1" applyBorder="1"/>
    <xf numFmtId="0" fontId="7" fillId="31" borderId="67" xfId="0" applyFont="1" applyFill="1" applyBorder="1"/>
    <xf numFmtId="0" fontId="7" fillId="31" borderId="81" xfId="0" applyFont="1" applyFill="1" applyBorder="1"/>
    <xf numFmtId="0" fontId="7" fillId="31" borderId="64" xfId="0" applyFont="1" applyFill="1" applyBorder="1" applyAlignment="1">
      <alignment wrapText="1"/>
    </xf>
    <xf numFmtId="9" fontId="7" fillId="48" borderId="6" xfId="82" applyFont="1" applyFill="1" applyBorder="1" applyAlignment="1">
      <alignment horizontal="center" vertical="center" wrapText="1"/>
    </xf>
    <xf numFmtId="9" fontId="7" fillId="48" borderId="11" xfId="82" applyFont="1" applyFill="1" applyBorder="1" applyAlignment="1">
      <alignment horizontal="center" vertical="center" wrapText="1"/>
    </xf>
    <xf numFmtId="0" fontId="101" fillId="48" borderId="5" xfId="0" applyFont="1" applyFill="1" applyBorder="1" applyAlignment="1">
      <alignment wrapText="1"/>
    </xf>
    <xf numFmtId="0" fontId="101" fillId="48" borderId="8" xfId="0" applyFont="1" applyFill="1" applyBorder="1" applyAlignment="1">
      <alignment wrapText="1"/>
    </xf>
    <xf numFmtId="0" fontId="101" fillId="48" borderId="10" xfId="0" applyFont="1" applyFill="1" applyBorder="1" applyAlignment="1">
      <alignment wrapText="1"/>
    </xf>
    <xf numFmtId="0" fontId="20" fillId="65" borderId="67" xfId="0" applyFont="1" applyFill="1" applyBorder="1" applyAlignment="1">
      <alignment horizontal="center" vertical="center" wrapText="1"/>
    </xf>
    <xf numFmtId="0" fontId="20" fillId="65" borderId="64" xfId="0" applyFont="1" applyFill="1" applyBorder="1" applyAlignment="1">
      <alignment horizontal="center" vertical="center"/>
    </xf>
    <xf numFmtId="0" fontId="61" fillId="49" borderId="67" xfId="0" applyFont="1" applyFill="1" applyBorder="1" applyAlignment="1">
      <alignment horizontal="center" vertical="center" wrapText="1"/>
    </xf>
    <xf numFmtId="0" fontId="61" fillId="49" borderId="64" xfId="0" applyFont="1" applyFill="1" applyBorder="1" applyAlignment="1">
      <alignment horizontal="center" vertical="center" wrapText="1"/>
    </xf>
    <xf numFmtId="10" fontId="101" fillId="48" borderId="7" xfId="82" applyNumberFormat="1" applyFont="1" applyFill="1" applyBorder="1" applyAlignment="1">
      <alignment horizontal="center"/>
    </xf>
    <xf numFmtId="10" fontId="101" fillId="48" borderId="9" xfId="82" applyNumberFormat="1" applyFont="1" applyFill="1" applyBorder="1" applyAlignment="1">
      <alignment horizontal="center"/>
    </xf>
    <xf numFmtId="10" fontId="101" fillId="48" borderId="12" xfId="82" applyNumberFormat="1" applyFont="1" applyFill="1" applyBorder="1" applyAlignment="1">
      <alignment horizontal="center"/>
    </xf>
    <xf numFmtId="0" fontId="0" fillId="31" borderId="82" xfId="0" applyFill="1" applyBorder="1"/>
    <xf numFmtId="43" fontId="7" fillId="31" borderId="70" xfId="47" applyFont="1" applyFill="1" applyBorder="1" applyAlignment="1">
      <alignment horizontal="center" vertical="center" wrapText="1"/>
    </xf>
    <xf numFmtId="0" fontId="7" fillId="31" borderId="111" xfId="0" applyFont="1" applyFill="1" applyBorder="1" applyAlignment="1">
      <alignment horizontal="center" vertical="center" wrapText="1"/>
    </xf>
    <xf numFmtId="0" fontId="7" fillId="31" borderId="109" xfId="0" applyFont="1" applyFill="1" applyBorder="1" applyAlignment="1">
      <alignment horizontal="center" vertical="center" wrapText="1"/>
    </xf>
    <xf numFmtId="0" fontId="7" fillId="48" borderId="5" xfId="0" applyFont="1" applyFill="1" applyBorder="1" applyAlignment="1">
      <alignment horizontal="center" vertical="center"/>
    </xf>
    <xf numFmtId="0" fontId="7" fillId="48" borderId="10" xfId="0" applyFont="1" applyFill="1" applyBorder="1" applyAlignment="1">
      <alignment horizontal="center" vertical="center"/>
    </xf>
    <xf numFmtId="2" fontId="0" fillId="0" borderId="9" xfId="47" applyNumberFormat="1" applyFont="1" applyBorder="1"/>
    <xf numFmtId="2" fontId="0" fillId="0" borderId="12" xfId="47" applyNumberFormat="1" applyFont="1" applyBorder="1"/>
    <xf numFmtId="43" fontId="7" fillId="31" borderId="75" xfId="47" applyFont="1" applyFill="1" applyBorder="1" applyAlignment="1">
      <alignment horizontal="center" vertical="center" wrapText="1"/>
    </xf>
    <xf numFmtId="9" fontId="7" fillId="48" borderId="105" xfId="82" applyFont="1" applyFill="1" applyBorder="1" applyAlignment="1">
      <alignment horizontal="center" vertical="center" wrapText="1"/>
    </xf>
    <xf numFmtId="9" fontId="7" fillId="48" borderId="107" xfId="82" applyFont="1" applyFill="1" applyBorder="1" applyAlignment="1">
      <alignment horizontal="center" vertical="center" wrapText="1"/>
    </xf>
    <xf numFmtId="0" fontId="7" fillId="48" borderId="152" xfId="0" applyFont="1" applyFill="1" applyBorder="1" applyAlignment="1">
      <alignment horizontal="center" vertical="center"/>
    </xf>
    <xf numFmtId="177" fontId="7" fillId="48" borderId="113" xfId="47" applyNumberFormat="1" applyFont="1" applyFill="1" applyBorder="1" applyAlignment="1">
      <alignment horizontal="center" vertical="center"/>
    </xf>
    <xf numFmtId="0" fontId="7" fillId="48" borderId="113" xfId="0" applyFont="1" applyFill="1" applyBorder="1" applyAlignment="1">
      <alignment horizontal="center" vertical="center"/>
    </xf>
    <xf numFmtId="9" fontId="7" fillId="48" borderId="113" xfId="0" applyNumberFormat="1" applyFont="1" applyFill="1" applyBorder="1" applyAlignment="1">
      <alignment horizontal="center" vertical="center"/>
    </xf>
    <xf numFmtId="9" fontId="7" fillId="48" borderId="135" xfId="0" applyNumberFormat="1" applyFont="1" applyFill="1" applyBorder="1" applyAlignment="1">
      <alignment horizontal="center" vertical="center"/>
    </xf>
    <xf numFmtId="0" fontId="7" fillId="48" borderId="67" xfId="0" applyFont="1" applyFill="1" applyBorder="1" applyAlignment="1">
      <alignment horizontal="center" vertical="center" wrapText="1"/>
    </xf>
    <xf numFmtId="177" fontId="7" fillId="48" borderId="81" xfId="47" applyNumberFormat="1" applyFont="1" applyFill="1" applyBorder="1" applyAlignment="1">
      <alignment horizontal="center" vertical="center"/>
    </xf>
    <xf numFmtId="0" fontId="7" fillId="48" borderId="64" xfId="47" applyNumberFormat="1" applyFont="1" applyFill="1" applyBorder="1" applyAlignment="1">
      <alignment horizontal="center" vertical="center"/>
    </xf>
    <xf numFmtId="0" fontId="7" fillId="31" borderId="105" xfId="0" applyFont="1" applyFill="1" applyBorder="1"/>
    <xf numFmtId="0" fontId="7" fillId="31" borderId="106" xfId="0" applyFont="1" applyFill="1" applyBorder="1"/>
    <xf numFmtId="9" fontId="0" fillId="0" borderId="0" xfId="82" applyFont="1" applyFill="1" applyBorder="1"/>
    <xf numFmtId="0" fontId="7" fillId="49" borderId="54" xfId="0" applyFont="1" applyFill="1" applyBorder="1" applyAlignment="1">
      <alignment vertical="center" wrapText="1"/>
    </xf>
    <xf numFmtId="0" fontId="7" fillId="31" borderId="69" xfId="0" applyFont="1" applyFill="1" applyBorder="1" applyAlignment="1">
      <alignment vertical="center" wrapText="1"/>
    </xf>
    <xf numFmtId="0" fontId="0" fillId="31" borderId="69" xfId="0" applyFill="1" applyBorder="1" applyAlignment="1">
      <alignment vertical="center" wrapText="1"/>
    </xf>
    <xf numFmtId="0" fontId="0" fillId="31" borderId="82" xfId="0" applyFill="1" applyBorder="1" applyAlignment="1">
      <alignment vertical="center" wrapText="1"/>
    </xf>
    <xf numFmtId="0" fontId="0" fillId="31" borderId="71" xfId="0" applyFill="1" applyBorder="1" applyAlignment="1">
      <alignment vertical="center" wrapText="1"/>
    </xf>
    <xf numFmtId="1" fontId="0" fillId="52" borderId="6" xfId="0" applyNumberFormat="1" applyFill="1" applyBorder="1"/>
    <xf numFmtId="0" fontId="0" fillId="52" borderId="9" xfId="0" applyFill="1" applyBorder="1"/>
    <xf numFmtId="1" fontId="0" fillId="52" borderId="4" xfId="0" applyNumberFormat="1" applyFill="1" applyBorder="1" applyAlignment="1">
      <alignment wrapText="1"/>
    </xf>
    <xf numFmtId="1" fontId="0" fillId="52" borderId="6" xfId="0" applyNumberFormat="1" applyFill="1" applyBorder="1" applyAlignment="1">
      <alignment wrapText="1"/>
    </xf>
    <xf numFmtId="9" fontId="0" fillId="48" borderId="79" xfId="82" applyFont="1" applyFill="1" applyBorder="1" applyAlignment="1">
      <alignment horizontal="center" vertical="center"/>
    </xf>
    <xf numFmtId="2" fontId="0" fillId="48" borderId="79" xfId="0" applyNumberFormat="1" applyFill="1" applyBorder="1"/>
    <xf numFmtId="2" fontId="0" fillId="48" borderId="61" xfId="0" applyNumberFormat="1" applyFill="1" applyBorder="1"/>
    <xf numFmtId="2" fontId="0" fillId="48" borderId="22" xfId="0" applyNumberFormat="1" applyFill="1" applyBorder="1"/>
    <xf numFmtId="2" fontId="0" fillId="48" borderId="136" xfId="0" applyNumberFormat="1" applyFill="1" applyBorder="1"/>
    <xf numFmtId="0" fontId="7" fillId="31" borderId="81" xfId="0" applyFont="1" applyFill="1" applyBorder="1" applyAlignment="1">
      <alignment wrapText="1"/>
    </xf>
    <xf numFmtId="2" fontId="0" fillId="48" borderId="58" xfId="47" applyNumberFormat="1" applyFont="1" applyFill="1" applyBorder="1" applyAlignment="1">
      <alignment horizontal="center" vertical="center"/>
    </xf>
    <xf numFmtId="2" fontId="0" fillId="48" borderId="4" xfId="47" applyNumberFormat="1" applyFont="1" applyFill="1" applyBorder="1" applyAlignment="1">
      <alignment horizontal="center" vertical="center"/>
    </xf>
    <xf numFmtId="2" fontId="0" fillId="48" borderId="9" xfId="47" applyNumberFormat="1" applyFont="1" applyFill="1" applyBorder="1" applyAlignment="1">
      <alignment horizontal="center" vertical="center"/>
    </xf>
    <xf numFmtId="2" fontId="0" fillId="0" borderId="0" xfId="82" applyNumberFormat="1" applyFont="1" applyFill="1" applyBorder="1" applyAlignment="1">
      <alignment horizontal="center" vertical="center"/>
    </xf>
    <xf numFmtId="1" fontId="0" fillId="48" borderId="61" xfId="47" applyNumberFormat="1" applyFont="1" applyFill="1" applyBorder="1" applyAlignment="1">
      <alignment horizontal="center" vertical="center"/>
    </xf>
    <xf numFmtId="1" fontId="0" fillId="48" borderId="6" xfId="47" applyNumberFormat="1" applyFont="1" applyFill="1" applyBorder="1" applyAlignment="1">
      <alignment horizontal="center" vertical="center"/>
    </xf>
    <xf numFmtId="1" fontId="0" fillId="48" borderId="7" xfId="47" applyNumberFormat="1" applyFont="1" applyFill="1" applyBorder="1" applyAlignment="1">
      <alignment horizontal="center" vertical="center"/>
    </xf>
    <xf numFmtId="0" fontId="0" fillId="0" borderId="13"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vertical="center"/>
    </xf>
    <xf numFmtId="0" fontId="0" fillId="0" borderId="11" xfId="0" applyBorder="1" applyAlignment="1">
      <alignment horizontal="center" vertical="center"/>
    </xf>
    <xf numFmtId="2" fontId="0" fillId="48" borderId="58" xfId="0" applyNumberFormat="1" applyFill="1" applyBorder="1"/>
    <xf numFmtId="2" fontId="0" fillId="48" borderId="63" xfId="0" applyNumberFormat="1" applyFill="1" applyBorder="1"/>
    <xf numFmtId="2" fontId="0" fillId="48" borderId="5" xfId="0" applyNumberFormat="1" applyFill="1" applyBorder="1" applyAlignment="1">
      <alignment horizontal="center"/>
    </xf>
    <xf numFmtId="2" fontId="0" fillId="48" borderId="8" xfId="0" applyNumberFormat="1" applyFill="1" applyBorder="1" applyAlignment="1">
      <alignment horizontal="center"/>
    </xf>
    <xf numFmtId="2" fontId="0" fillId="48" borderId="10" xfId="0" applyNumberFormat="1" applyFill="1" applyBorder="1" applyAlignment="1">
      <alignment horizontal="center"/>
    </xf>
    <xf numFmtId="0" fontId="7" fillId="49" borderId="152" xfId="0" applyFont="1" applyFill="1" applyBorder="1" applyAlignment="1">
      <alignment horizontal="left" vertical="center" wrapText="1"/>
    </xf>
    <xf numFmtId="0" fontId="20" fillId="31" borderId="8" xfId="0" applyFont="1" applyFill="1" applyBorder="1" applyAlignment="1">
      <alignment horizontal="left" vertical="center"/>
    </xf>
    <xf numFmtId="0" fontId="0" fillId="31" borderId="10" xfId="0" applyFill="1" applyBorder="1" applyAlignment="1">
      <alignment horizontal="left"/>
    </xf>
    <xf numFmtId="0" fontId="0" fillId="31" borderId="5" xfId="0" applyFill="1" applyBorder="1" applyAlignment="1">
      <alignment horizontal="left" vertical="center" wrapText="1"/>
    </xf>
    <xf numFmtId="0" fontId="20" fillId="52" borderId="5" xfId="0" applyFont="1" applyFill="1" applyBorder="1" applyAlignment="1">
      <alignment vertical="center"/>
    </xf>
    <xf numFmtId="2" fontId="0" fillId="48" borderId="6" xfId="0" applyNumberFormat="1" applyFill="1" applyBorder="1" applyAlignment="1">
      <alignment wrapText="1"/>
    </xf>
    <xf numFmtId="0" fontId="20" fillId="52" borderId="8" xfId="0" applyFont="1" applyFill="1" applyBorder="1" applyAlignment="1">
      <alignment vertical="center"/>
    </xf>
    <xf numFmtId="0" fontId="20" fillId="52" borderId="10" xfId="0" applyFont="1" applyFill="1" applyBorder="1" applyAlignment="1">
      <alignment vertical="center"/>
    </xf>
    <xf numFmtId="0" fontId="81" fillId="49" borderId="113" xfId="0" applyFont="1" applyFill="1" applyBorder="1" applyAlignment="1">
      <alignment horizontal="center" vertical="center" wrapText="1"/>
    </xf>
    <xf numFmtId="0" fontId="7" fillId="49" borderId="135" xfId="0" applyFont="1" applyFill="1" applyBorder="1" applyAlignment="1">
      <alignment horizontal="center" vertical="center"/>
    </xf>
    <xf numFmtId="0" fontId="0" fillId="31" borderId="12" xfId="0" applyFill="1" applyBorder="1"/>
    <xf numFmtId="0" fontId="19" fillId="52" borderId="8" xfId="0" applyFont="1" applyFill="1" applyBorder="1"/>
    <xf numFmtId="0" fontId="93" fillId="31" borderId="14" xfId="0" applyFont="1" applyFill="1" applyBorder="1" applyAlignment="1">
      <alignment vertical="center" wrapText="1"/>
    </xf>
    <xf numFmtId="0" fontId="7" fillId="63" borderId="16" xfId="0" applyFont="1" applyFill="1" applyBorder="1" applyAlignment="1">
      <alignment horizontal="center" wrapText="1"/>
    </xf>
    <xf numFmtId="0" fontId="0" fillId="64" borderId="10" xfId="0" applyFill="1" applyBorder="1"/>
    <xf numFmtId="192" fontId="93" fillId="31" borderId="133" xfId="47" applyNumberFormat="1" applyFont="1" applyFill="1" applyBorder="1" applyAlignment="1">
      <alignment wrapText="1"/>
    </xf>
    <xf numFmtId="192" fontId="0" fillId="31" borderId="75" xfId="47" applyNumberFormat="1" applyFont="1" applyFill="1" applyBorder="1"/>
    <xf numFmtId="192" fontId="0" fillId="31" borderId="57" xfId="47" applyNumberFormat="1" applyFont="1" applyFill="1" applyBorder="1"/>
    <xf numFmtId="190" fontId="20" fillId="64" borderId="70" xfId="0" applyNumberFormat="1" applyFont="1" applyFill="1" applyBorder="1" applyAlignment="1">
      <alignment horizontal="center" vertical="center"/>
    </xf>
    <xf numFmtId="0" fontId="60" fillId="52" borderId="60" xfId="0" applyFont="1" applyFill="1" applyBorder="1" applyAlignment="1">
      <alignment vertical="center"/>
    </xf>
    <xf numFmtId="0" fontId="0" fillId="52" borderId="59" xfId="0" applyFill="1" applyBorder="1"/>
    <xf numFmtId="0" fontId="60" fillId="52" borderId="8" xfId="0" applyFont="1" applyFill="1" applyBorder="1" applyAlignment="1">
      <alignment vertical="center"/>
    </xf>
    <xf numFmtId="0" fontId="60" fillId="52" borderId="9" xfId="0" applyFont="1" applyFill="1" applyBorder="1" applyAlignment="1">
      <alignment vertical="center"/>
    </xf>
    <xf numFmtId="0" fontId="0" fillId="31" borderId="9" xfId="0" applyFill="1" applyBorder="1" applyAlignment="1">
      <alignment horizontal="left" wrapText="1"/>
    </xf>
    <xf numFmtId="0" fontId="0" fillId="31" borderId="12" xfId="0" applyFill="1" applyBorder="1" applyAlignment="1">
      <alignment horizontal="left" wrapText="1"/>
    </xf>
    <xf numFmtId="0" fontId="7" fillId="31" borderId="49" xfId="0" applyFont="1" applyFill="1" applyBorder="1" applyAlignment="1">
      <alignment horizontal="center" vertical="center" wrapText="1"/>
    </xf>
    <xf numFmtId="0" fontId="7" fillId="31" borderId="72" xfId="0" applyFont="1" applyFill="1" applyBorder="1" applyAlignment="1">
      <alignment horizontal="center" vertical="center" wrapText="1"/>
    </xf>
    <xf numFmtId="0" fontId="77" fillId="41" borderId="72" xfId="0" applyFont="1" applyFill="1" applyBorder="1" applyAlignment="1">
      <alignment vertical="center"/>
    </xf>
    <xf numFmtId="193" fontId="20" fillId="47" borderId="101" xfId="60" applyNumberFormat="1" applyFont="1" applyFill="1" applyBorder="1" applyAlignment="1">
      <alignment horizontal="center" vertical="center" wrapText="1"/>
    </xf>
    <xf numFmtId="0" fontId="7" fillId="31" borderId="107" xfId="0" applyFont="1" applyFill="1" applyBorder="1"/>
    <xf numFmtId="9" fontId="0" fillId="48" borderId="82" xfId="82" applyFont="1" applyFill="1" applyBorder="1" applyAlignment="1">
      <alignment horizontal="center" vertical="center"/>
    </xf>
    <xf numFmtId="9" fontId="0" fillId="48" borderId="4" xfId="82" applyFont="1" applyFill="1" applyBorder="1" applyAlignment="1">
      <alignment horizontal="center" vertical="center"/>
    </xf>
    <xf numFmtId="0" fontId="19" fillId="52" borderId="5" xfId="0" applyFont="1" applyFill="1" applyBorder="1"/>
    <xf numFmtId="166" fontId="19" fillId="48" borderId="6" xfId="0" applyNumberFormat="1" applyFont="1" applyFill="1" applyBorder="1" applyAlignment="1">
      <alignment horizontal="center"/>
    </xf>
    <xf numFmtId="166" fontId="19" fillId="48" borderId="7" xfId="0" applyNumberFormat="1" applyFont="1" applyFill="1" applyBorder="1" applyAlignment="1">
      <alignment horizontal="center"/>
    </xf>
    <xf numFmtId="0" fontId="19" fillId="52" borderId="10" xfId="0" applyFont="1" applyFill="1" applyBorder="1"/>
    <xf numFmtId="2" fontId="0" fillId="48" borderId="61" xfId="0" applyNumberFormat="1" applyFill="1" applyBorder="1" applyAlignment="1">
      <alignment wrapText="1"/>
    </xf>
    <xf numFmtId="2" fontId="0" fillId="48" borderId="58" xfId="0" applyNumberFormat="1" applyFill="1" applyBorder="1" applyAlignment="1">
      <alignment wrapText="1"/>
    </xf>
    <xf numFmtId="2" fontId="0" fillId="48" borderId="63" xfId="0" applyNumberFormat="1" applyFill="1" applyBorder="1" applyAlignment="1">
      <alignment wrapText="1"/>
    </xf>
    <xf numFmtId="0" fontId="7" fillId="49" borderId="7" xfId="0" applyFont="1" applyFill="1" applyBorder="1" applyAlignment="1">
      <alignment horizontal="left" vertical="center" wrapText="1"/>
    </xf>
    <xf numFmtId="0" fontId="7" fillId="49" borderId="135" xfId="0" applyFont="1" applyFill="1" applyBorder="1" applyAlignment="1">
      <alignment horizontal="left" vertical="center" wrapText="1"/>
    </xf>
    <xf numFmtId="0" fontId="0" fillId="31" borderId="7" xfId="0" applyFill="1" applyBorder="1" applyAlignment="1">
      <alignment horizontal="left" vertical="center" wrapText="1"/>
    </xf>
    <xf numFmtId="0" fontId="0" fillId="47" borderId="6" xfId="0" applyFill="1" applyBorder="1" applyAlignment="1">
      <alignment horizontal="left" wrapText="1"/>
    </xf>
    <xf numFmtId="0" fontId="0" fillId="52" borderId="6" xfId="0" applyFill="1" applyBorder="1" applyAlignment="1">
      <alignment horizontal="center" wrapText="1"/>
    </xf>
    <xf numFmtId="0" fontId="0" fillId="47" borderId="13" xfId="0" applyFill="1" applyBorder="1" applyAlignment="1">
      <alignment horizontal="left" wrapText="1"/>
    </xf>
    <xf numFmtId="0" fontId="0" fillId="52" borderId="13" xfId="0" applyFill="1" applyBorder="1" applyAlignment="1">
      <alignment horizontal="center" wrapText="1"/>
    </xf>
    <xf numFmtId="0" fontId="0" fillId="47" borderId="4" xfId="0" applyFill="1" applyBorder="1" applyAlignment="1">
      <alignment horizontal="left" wrapText="1"/>
    </xf>
    <xf numFmtId="0" fontId="0" fillId="47" borderId="11" xfId="0" applyFill="1" applyBorder="1" applyAlignment="1">
      <alignment horizontal="left" wrapText="1"/>
    </xf>
    <xf numFmtId="0" fontId="0" fillId="52" borderId="5" xfId="0" applyFill="1" applyBorder="1" applyAlignment="1">
      <alignment horizontal="left" vertical="top" wrapText="1"/>
    </xf>
    <xf numFmtId="0" fontId="0" fillId="52" borderId="60" xfId="0" applyFill="1" applyBorder="1" applyAlignment="1">
      <alignment horizontal="left" vertical="top" wrapText="1"/>
    </xf>
    <xf numFmtId="0" fontId="7" fillId="31" borderId="10" xfId="0" applyFont="1" applyFill="1" applyBorder="1" applyAlignment="1">
      <alignment wrapText="1"/>
    </xf>
    <xf numFmtId="0" fontId="7" fillId="49" borderId="60" xfId="0" applyFont="1" applyFill="1" applyBorder="1" applyAlignment="1">
      <alignment wrapText="1"/>
    </xf>
    <xf numFmtId="0" fontId="20" fillId="52" borderId="69" xfId="0" applyFont="1" applyFill="1" applyBorder="1" applyAlignment="1">
      <alignment vertical="center" wrapText="1"/>
    </xf>
    <xf numFmtId="0" fontId="7" fillId="49" borderId="105" xfId="0" applyFont="1" applyFill="1" applyBorder="1" applyAlignment="1">
      <alignment wrapText="1"/>
    </xf>
    <xf numFmtId="0" fontId="7" fillId="31" borderId="107" xfId="0" applyFont="1" applyFill="1" applyBorder="1" applyAlignment="1">
      <alignment wrapText="1"/>
    </xf>
    <xf numFmtId="177" fontId="0" fillId="48" borderId="77" xfId="47" applyNumberFormat="1" applyFont="1" applyFill="1" applyBorder="1" applyAlignment="1">
      <alignment horizontal="center" vertical="center" wrapText="1"/>
    </xf>
    <xf numFmtId="0" fontId="20" fillId="31" borderId="72" xfId="0" applyFont="1" applyFill="1" applyBorder="1" applyAlignment="1">
      <alignment horizontal="left" vertical="center"/>
    </xf>
    <xf numFmtId="0" fontId="20" fillId="31" borderId="101" xfId="0" applyFont="1" applyFill="1" applyBorder="1" applyAlignment="1">
      <alignment horizontal="left" vertical="center"/>
    </xf>
    <xf numFmtId="2" fontId="0" fillId="47" borderId="13" xfId="0" applyNumberFormat="1" applyFill="1" applyBorder="1" applyAlignment="1">
      <alignment wrapText="1"/>
    </xf>
    <xf numFmtId="177" fontId="0" fillId="0" borderId="0" xfId="47" applyNumberFormat="1" applyFont="1" applyAlignment="1"/>
    <xf numFmtId="166" fontId="0" fillId="0" borderId="0" xfId="0" applyNumberFormat="1" applyAlignment="1">
      <alignment wrapText="1"/>
    </xf>
    <xf numFmtId="166" fontId="0" fillId="48" borderId="122" xfId="0" applyNumberFormat="1" applyFill="1" applyBorder="1" applyAlignment="1">
      <alignment horizontal="center" vertical="center" wrapText="1"/>
    </xf>
    <xf numFmtId="9" fontId="0" fillId="48" borderId="73" xfId="82" applyFont="1" applyFill="1" applyBorder="1" applyAlignment="1">
      <alignment horizontal="center" vertical="center" wrapText="1"/>
    </xf>
    <xf numFmtId="1" fontId="0" fillId="48" borderId="69" xfId="47" applyNumberFormat="1" applyFont="1" applyFill="1" applyBorder="1" applyAlignment="1">
      <alignment horizontal="center" vertical="center" wrapText="1"/>
    </xf>
    <xf numFmtId="0" fontId="7" fillId="49" borderId="76" xfId="0" applyFont="1" applyFill="1" applyBorder="1" applyAlignment="1">
      <alignment vertical="center" wrapText="1"/>
    </xf>
    <xf numFmtId="0" fontId="0" fillId="52" borderId="7" xfId="0" applyFill="1" applyBorder="1" applyAlignment="1">
      <alignment wrapText="1"/>
    </xf>
    <xf numFmtId="0" fontId="0" fillId="52" borderId="9" xfId="0" applyFill="1" applyBorder="1" applyAlignment="1">
      <alignment wrapText="1"/>
    </xf>
    <xf numFmtId="0" fontId="0" fillId="52" borderId="12" xfId="0" applyFill="1" applyBorder="1" applyAlignment="1">
      <alignment wrapText="1"/>
    </xf>
    <xf numFmtId="43" fontId="0" fillId="0" borderId="0" xfId="0" applyNumberFormat="1"/>
    <xf numFmtId="194" fontId="0" fillId="48" borderId="6" xfId="82" applyNumberFormat="1" applyFont="1" applyFill="1" applyBorder="1"/>
    <xf numFmtId="194" fontId="0" fillId="48" borderId="4" xfId="82" applyNumberFormat="1" applyFont="1" applyFill="1" applyBorder="1"/>
    <xf numFmtId="0" fontId="4" fillId="3" borderId="49" xfId="3" applyBorder="1" applyAlignment="1">
      <alignment horizontal="center" vertical="center" wrapText="1"/>
    </xf>
    <xf numFmtId="0" fontId="4" fillId="3" borderId="78" xfId="3" applyBorder="1" applyAlignment="1">
      <alignment wrapText="1"/>
    </xf>
    <xf numFmtId="0" fontId="5" fillId="4" borderId="49" xfId="4" applyBorder="1" applyAlignment="1">
      <alignment horizontal="center" vertical="center" wrapText="1"/>
    </xf>
    <xf numFmtId="0" fontId="5" fillId="4" borderId="78" xfId="4" applyBorder="1" applyAlignment="1">
      <alignment wrapText="1"/>
    </xf>
    <xf numFmtId="43" fontId="0" fillId="48" borderId="102" xfId="0" applyNumberFormat="1" applyFill="1" applyBorder="1" applyAlignment="1">
      <alignment wrapText="1"/>
    </xf>
    <xf numFmtId="43" fontId="0" fillId="48" borderId="103" xfId="0" applyNumberFormat="1" applyFill="1" applyBorder="1"/>
    <xf numFmtId="0" fontId="7" fillId="31" borderId="50" xfId="0" applyFont="1" applyFill="1" applyBorder="1" applyAlignment="1">
      <alignment horizontal="center" vertical="center" wrapText="1"/>
    </xf>
    <xf numFmtId="0" fontId="7" fillId="31" borderId="51" xfId="0" applyFont="1" applyFill="1" applyBorder="1" applyAlignment="1">
      <alignment horizontal="center" vertical="center" wrapText="1"/>
    </xf>
    <xf numFmtId="0" fontId="7" fillId="31" borderId="72" xfId="0" applyFont="1" applyFill="1" applyBorder="1" applyAlignment="1">
      <alignment horizontal="center"/>
    </xf>
    <xf numFmtId="0" fontId="7" fillId="31" borderId="73" xfId="0" applyFont="1" applyFill="1" applyBorder="1" applyAlignment="1">
      <alignment horizontal="center"/>
    </xf>
    <xf numFmtId="0" fontId="7" fillId="31" borderId="74" xfId="0" applyFont="1" applyFill="1" applyBorder="1" applyAlignment="1">
      <alignment horizontal="center"/>
    </xf>
    <xf numFmtId="43" fontId="0" fillId="48" borderId="104" xfId="0" applyNumberFormat="1" applyFill="1" applyBorder="1"/>
    <xf numFmtId="0" fontId="7" fillId="31" borderId="49" xfId="0" applyFont="1" applyFill="1" applyBorder="1" applyAlignment="1">
      <alignment horizontal="center"/>
    </xf>
    <xf numFmtId="0" fontId="7" fillId="31" borderId="50" xfId="0" applyFont="1" applyFill="1" applyBorder="1" applyAlignment="1">
      <alignment horizontal="center"/>
    </xf>
    <xf numFmtId="0" fontId="7" fillId="31" borderId="51" xfId="0" applyFont="1" applyFill="1" applyBorder="1" applyAlignment="1">
      <alignment horizontal="center"/>
    </xf>
    <xf numFmtId="0" fontId="0" fillId="52" borderId="10" xfId="0" applyFill="1" applyBorder="1" applyAlignment="1">
      <alignment horizontal="left" vertical="top" wrapText="1"/>
    </xf>
    <xf numFmtId="0" fontId="0" fillId="52" borderId="63" xfId="0" applyFill="1" applyBorder="1" applyAlignment="1">
      <alignment wrapText="1"/>
    </xf>
    <xf numFmtId="0" fontId="7" fillId="31" borderId="69" xfId="0" applyFont="1" applyFill="1" applyBorder="1" applyAlignment="1">
      <alignment horizontal="left" vertical="center" wrapText="1"/>
    </xf>
    <xf numFmtId="0" fontId="7" fillId="31" borderId="76" xfId="0" applyFont="1" applyFill="1" applyBorder="1" applyAlignment="1">
      <alignment horizontal="left" vertical="center" wrapText="1"/>
    </xf>
    <xf numFmtId="177" fontId="0" fillId="48" borderId="102" xfId="47" applyNumberFormat="1" applyFont="1" applyFill="1" applyBorder="1" applyAlignment="1">
      <alignment wrapText="1"/>
    </xf>
    <xf numFmtId="177" fontId="0" fillId="48" borderId="103" xfId="47" applyNumberFormat="1" applyFont="1" applyFill="1" applyBorder="1" applyAlignment="1">
      <alignment wrapText="1"/>
    </xf>
    <xf numFmtId="177" fontId="0" fillId="48" borderId="104" xfId="47" applyNumberFormat="1" applyFont="1" applyFill="1" applyBorder="1" applyAlignment="1">
      <alignment wrapText="1"/>
    </xf>
    <xf numFmtId="1" fontId="0" fillId="52" borderId="11" xfId="0" applyNumberFormat="1" applyFill="1" applyBorder="1" applyAlignment="1">
      <alignment wrapText="1"/>
    </xf>
    <xf numFmtId="177" fontId="0" fillId="48" borderId="58" xfId="47" applyNumberFormat="1" applyFont="1" applyFill="1" applyBorder="1"/>
    <xf numFmtId="177" fontId="0" fillId="48" borderId="63" xfId="47" applyNumberFormat="1" applyFont="1" applyFill="1" applyBorder="1"/>
    <xf numFmtId="0" fontId="0" fillId="61" borderId="61" xfId="0" applyFill="1" applyBorder="1"/>
    <xf numFmtId="0" fontId="0" fillId="62" borderId="58" xfId="0" applyFill="1" applyBorder="1"/>
    <xf numFmtId="0" fontId="0" fillId="39" borderId="63" xfId="0" applyFill="1" applyBorder="1"/>
    <xf numFmtId="0" fontId="20" fillId="0" borderId="0" xfId="0" applyFont="1" applyAlignment="1" applyProtection="1">
      <alignment horizontal="left" vertical="center"/>
      <protection locked="0"/>
    </xf>
    <xf numFmtId="0" fontId="20" fillId="52" borderId="78" xfId="0" applyFont="1" applyFill="1" applyBorder="1" applyAlignment="1" applyProtection="1">
      <alignment horizontal="left" vertical="center"/>
      <protection locked="0"/>
    </xf>
    <xf numFmtId="0" fontId="7" fillId="49" borderId="112" xfId="0" applyFont="1" applyFill="1" applyBorder="1" applyAlignment="1">
      <alignment wrapText="1"/>
    </xf>
    <xf numFmtId="0" fontId="7" fillId="31" borderId="24" xfId="0" applyFont="1" applyFill="1" applyBorder="1" applyAlignment="1">
      <alignment wrapText="1"/>
    </xf>
    <xf numFmtId="0" fontId="0" fillId="48" borderId="23" xfId="0" applyFill="1" applyBorder="1" applyAlignment="1">
      <alignment wrapText="1"/>
    </xf>
    <xf numFmtId="0" fontId="0" fillId="48" borderId="62" xfId="0" applyFill="1" applyBorder="1" applyAlignment="1">
      <alignment wrapText="1"/>
    </xf>
    <xf numFmtId="0" fontId="7" fillId="49" borderId="23" xfId="0" applyFont="1" applyFill="1" applyBorder="1" applyAlignment="1">
      <alignment wrapText="1"/>
    </xf>
    <xf numFmtId="0" fontId="7" fillId="31" borderId="110" xfId="0" applyFont="1" applyFill="1" applyBorder="1" applyAlignment="1">
      <alignment wrapText="1"/>
    </xf>
    <xf numFmtId="0" fontId="0" fillId="48" borderId="24" xfId="0" applyFill="1" applyBorder="1" applyAlignment="1">
      <alignment wrapText="1"/>
    </xf>
    <xf numFmtId="0" fontId="0" fillId="48" borderId="0" xfId="0" applyFill="1" applyAlignment="1">
      <alignment wrapText="1"/>
    </xf>
    <xf numFmtId="0" fontId="0" fillId="48" borderId="102" xfId="0" applyFill="1" applyBorder="1" applyAlignment="1">
      <alignment wrapText="1"/>
    </xf>
    <xf numFmtId="0" fontId="0" fillId="48" borderId="103" xfId="0" applyFill="1" applyBorder="1" applyAlignment="1">
      <alignment wrapText="1"/>
    </xf>
    <xf numFmtId="0" fontId="0" fillId="48" borderId="104" xfId="0" applyFill="1" applyBorder="1" applyAlignment="1">
      <alignment wrapText="1"/>
    </xf>
    <xf numFmtId="0" fontId="7" fillId="31" borderId="11" xfId="0" applyFont="1" applyFill="1" applyBorder="1" applyAlignment="1">
      <alignment horizontal="center" wrapText="1"/>
    </xf>
    <xf numFmtId="0" fontId="0" fillId="48" borderId="68" xfId="0" applyFill="1" applyBorder="1" applyAlignment="1">
      <alignment wrapText="1"/>
    </xf>
    <xf numFmtId="0" fontId="0" fillId="49" borderId="49" xfId="0" applyFill="1" applyBorder="1" applyAlignment="1">
      <alignment horizontal="center" vertical="center"/>
    </xf>
    <xf numFmtId="0" fontId="0" fillId="49" borderId="52" xfId="0" applyFill="1" applyBorder="1" applyAlignment="1">
      <alignment horizontal="center" vertical="center"/>
    </xf>
    <xf numFmtId="0" fontId="0" fillId="49" borderId="54" xfId="0" applyFill="1" applyBorder="1" applyAlignment="1">
      <alignment horizontal="center" vertical="center"/>
    </xf>
    <xf numFmtId="10" fontId="101" fillId="48" borderId="75" xfId="82" applyNumberFormat="1" applyFont="1" applyFill="1" applyBorder="1" applyAlignment="1">
      <alignment horizontal="center"/>
    </xf>
    <xf numFmtId="10" fontId="101" fillId="48" borderId="57" xfId="82" applyNumberFormat="1" applyFont="1" applyFill="1" applyBorder="1" applyAlignment="1">
      <alignment horizontal="center"/>
    </xf>
    <xf numFmtId="10" fontId="101" fillId="48" borderId="70" xfId="82" applyNumberFormat="1" applyFont="1" applyFill="1" applyBorder="1" applyAlignment="1">
      <alignment horizontal="center"/>
    </xf>
    <xf numFmtId="177" fontId="7" fillId="48" borderId="51" xfId="47" applyNumberFormat="1" applyFont="1" applyFill="1" applyBorder="1" applyAlignment="1">
      <alignment horizontal="center" vertical="center" wrapText="1"/>
    </xf>
    <xf numFmtId="0" fontId="7" fillId="60" borderId="13" xfId="0" applyFont="1" applyFill="1" applyBorder="1" applyAlignment="1">
      <alignment wrapText="1"/>
    </xf>
    <xf numFmtId="0" fontId="7" fillId="49" borderId="72" xfId="0" applyFont="1" applyFill="1" applyBorder="1" applyAlignment="1">
      <alignment wrapText="1"/>
    </xf>
    <xf numFmtId="166" fontId="0" fillId="45" borderId="4" xfId="0" applyNumberFormat="1" applyFill="1" applyBorder="1"/>
    <xf numFmtId="9" fontId="7" fillId="31" borderId="65" xfId="82" applyFont="1" applyFill="1" applyBorder="1" applyAlignment="1">
      <alignment horizontal="center" wrapText="1"/>
    </xf>
    <xf numFmtId="9" fontId="0" fillId="52" borderId="6" xfId="82" applyFont="1" applyFill="1" applyBorder="1" applyAlignment="1">
      <alignment horizontal="center" wrapText="1"/>
    </xf>
    <xf numFmtId="9" fontId="0" fillId="52" borderId="4" xfId="82" applyFont="1" applyFill="1" applyBorder="1" applyAlignment="1">
      <alignment horizontal="center" wrapText="1"/>
    </xf>
    <xf numFmtId="43" fontId="0" fillId="48" borderId="122" xfId="47" applyFont="1" applyFill="1" applyBorder="1" applyAlignment="1">
      <alignment horizontal="center" vertical="center" wrapText="1"/>
    </xf>
    <xf numFmtId="43" fontId="0" fillId="48" borderId="122" xfId="47" applyFont="1" applyFill="1" applyBorder="1" applyAlignment="1">
      <alignment horizontal="center" vertical="center"/>
    </xf>
    <xf numFmtId="0" fontId="92" fillId="49" borderId="16" xfId="30" applyFont="1" applyFill="1" applyBorder="1" applyAlignment="1">
      <alignment wrapText="1"/>
    </xf>
    <xf numFmtId="0" fontId="0" fillId="0" borderId="83" xfId="0" applyBorder="1" applyAlignment="1">
      <alignment horizontal="center" vertical="center" wrapText="1"/>
    </xf>
    <xf numFmtId="186" fontId="52" fillId="41" borderId="30" xfId="0" applyNumberFormat="1" applyFont="1" applyFill="1" applyBorder="1" applyAlignment="1">
      <alignment horizontal="center" vertical="center"/>
    </xf>
    <xf numFmtId="0" fontId="0" fillId="48" borderId="112" xfId="0" applyFill="1" applyBorder="1" applyAlignment="1">
      <alignment wrapText="1"/>
    </xf>
    <xf numFmtId="0" fontId="0" fillId="48" borderId="155" xfId="0" applyFill="1" applyBorder="1" applyAlignment="1">
      <alignment wrapText="1"/>
    </xf>
    <xf numFmtId="0" fontId="0" fillId="48" borderId="55" xfId="0" applyFill="1" applyBorder="1" applyAlignment="1">
      <alignment wrapText="1"/>
    </xf>
    <xf numFmtId="2" fontId="0" fillId="0" borderId="0" xfId="47" applyNumberFormat="1" applyFont="1" applyFill="1" applyBorder="1" applyAlignment="1">
      <alignment wrapText="1"/>
    </xf>
    <xf numFmtId="0" fontId="20" fillId="31" borderId="156" xfId="0" applyFont="1" applyFill="1" applyBorder="1"/>
    <xf numFmtId="0" fontId="20" fillId="31" borderId="24" xfId="0" applyFont="1" applyFill="1" applyBorder="1"/>
    <xf numFmtId="0" fontId="20" fillId="31" borderId="154" xfId="0" applyFont="1" applyFill="1" applyBorder="1"/>
    <xf numFmtId="43" fontId="0" fillId="48" borderId="157" xfId="47" applyFont="1" applyFill="1" applyBorder="1"/>
    <xf numFmtId="43" fontId="0" fillId="48" borderId="108" xfId="47" applyFont="1" applyFill="1" applyBorder="1"/>
    <xf numFmtId="43" fontId="0" fillId="48" borderId="109" xfId="47" applyFont="1" applyFill="1" applyBorder="1"/>
    <xf numFmtId="0" fontId="0" fillId="52" borderId="68" xfId="0" applyFill="1" applyBorder="1" applyAlignment="1">
      <alignment horizontal="center" wrapText="1"/>
    </xf>
    <xf numFmtId="0" fontId="0" fillId="52" borderId="68" xfId="0" applyFill="1" applyBorder="1"/>
    <xf numFmtId="0" fontId="0" fillId="48" borderId="61" xfId="0" applyFill="1" applyBorder="1" applyAlignment="1">
      <alignment wrapText="1"/>
    </xf>
    <xf numFmtId="0" fontId="0" fillId="48" borderId="22" xfId="0" applyFill="1" applyBorder="1" applyAlignment="1">
      <alignment wrapText="1"/>
    </xf>
    <xf numFmtId="0" fontId="0" fillId="48" borderId="136" xfId="0" applyFill="1" applyBorder="1" applyAlignment="1">
      <alignment wrapText="1"/>
    </xf>
    <xf numFmtId="0" fontId="7" fillId="49" borderId="133" xfId="0" applyFont="1" applyFill="1" applyBorder="1"/>
    <xf numFmtId="182" fontId="0" fillId="31" borderId="84" xfId="0" applyNumberFormat="1" applyFill="1" applyBorder="1"/>
    <xf numFmtId="168" fontId="0" fillId="31" borderId="57" xfId="0" applyNumberFormat="1" applyFill="1" applyBorder="1"/>
    <xf numFmtId="182" fontId="0" fillId="31" borderId="57" xfId="0" applyNumberFormat="1" applyFill="1" applyBorder="1"/>
    <xf numFmtId="174" fontId="0" fillId="31" borderId="57" xfId="0" applyNumberFormat="1" applyFill="1" applyBorder="1"/>
    <xf numFmtId="2" fontId="0" fillId="31" borderId="57" xfId="0" applyNumberFormat="1" applyFill="1" applyBorder="1"/>
    <xf numFmtId="166" fontId="0" fillId="31" borderId="57" xfId="0" applyNumberFormat="1" applyFill="1" applyBorder="1"/>
    <xf numFmtId="0" fontId="0" fillId="43" borderId="57" xfId="0" applyFill="1" applyBorder="1"/>
    <xf numFmtId="186" fontId="0" fillId="31" borderId="62" xfId="0" applyNumberFormat="1" applyFill="1" applyBorder="1"/>
    <xf numFmtId="0" fontId="0" fillId="45" borderId="57" xfId="0" applyFill="1" applyBorder="1"/>
    <xf numFmtId="167" fontId="0" fillId="31" borderId="57" xfId="0" applyNumberFormat="1" applyFill="1" applyBorder="1"/>
    <xf numFmtId="0" fontId="7" fillId="49" borderId="4" xfId="0" applyFont="1" applyFill="1" applyBorder="1"/>
    <xf numFmtId="0" fontId="7" fillId="49" borderId="0" xfId="0" applyFont="1" applyFill="1" applyAlignment="1">
      <alignment horizontal="center"/>
    </xf>
    <xf numFmtId="0" fontId="0" fillId="51" borderId="113" xfId="0" applyFill="1" applyBorder="1" applyAlignment="1">
      <alignment wrapText="1"/>
    </xf>
    <xf numFmtId="1" fontId="32" fillId="41" borderId="33" xfId="0" applyNumberFormat="1" applyFont="1" applyFill="1" applyBorder="1" applyAlignment="1">
      <alignment horizontal="left" wrapText="1"/>
    </xf>
    <xf numFmtId="177" fontId="7" fillId="49" borderId="6" xfId="47" applyNumberFormat="1" applyFont="1" applyFill="1" applyBorder="1" applyAlignment="1">
      <alignment horizontal="left" vertical="center" wrapText="1"/>
    </xf>
    <xf numFmtId="43" fontId="7" fillId="49" borderId="105" xfId="47" applyFont="1" applyFill="1" applyBorder="1" applyAlignment="1">
      <alignment horizontal="left" vertical="center" wrapText="1"/>
    </xf>
    <xf numFmtId="0" fontId="7" fillId="49" borderId="113" xfId="0" applyFont="1" applyFill="1" applyBorder="1" applyAlignment="1">
      <alignment horizontal="left" vertical="center" wrapText="1"/>
    </xf>
    <xf numFmtId="0" fontId="0" fillId="47" borderId="14" xfId="0" applyFill="1" applyBorder="1" applyAlignment="1">
      <alignment horizontal="center" vertical="center" wrapText="1"/>
    </xf>
    <xf numFmtId="0" fontId="7" fillId="49" borderId="152" xfId="0" applyFont="1" applyFill="1" applyBorder="1" applyAlignment="1">
      <alignment wrapText="1"/>
    </xf>
    <xf numFmtId="0" fontId="7" fillId="49" borderId="113" xfId="0" applyFont="1" applyFill="1" applyBorder="1" applyAlignment="1">
      <alignment wrapText="1"/>
    </xf>
    <xf numFmtId="0" fontId="7" fillId="49" borderId="135" xfId="0" applyFont="1" applyFill="1" applyBorder="1" applyAlignment="1">
      <alignment wrapText="1"/>
    </xf>
    <xf numFmtId="1" fontId="0" fillId="48" borderId="4" xfId="0" applyNumberFormat="1" applyFill="1" applyBorder="1"/>
    <xf numFmtId="2" fontId="0" fillId="48" borderId="9" xfId="0" applyNumberFormat="1" applyFill="1" applyBorder="1"/>
    <xf numFmtId="2" fontId="0" fillId="48" borderId="8" xfId="0" applyNumberFormat="1" applyFill="1" applyBorder="1"/>
    <xf numFmtId="1" fontId="0" fillId="48" borderId="11" xfId="0" applyNumberFormat="1" applyFill="1" applyBorder="1"/>
    <xf numFmtId="0" fontId="20" fillId="31" borderId="11" xfId="57" applyFont="1" applyFill="1" applyBorder="1" applyAlignment="1">
      <alignment horizontal="left" vertical="center"/>
    </xf>
    <xf numFmtId="0" fontId="7" fillId="49" borderId="105" xfId="0" applyFont="1" applyFill="1" applyBorder="1" applyAlignment="1">
      <alignment horizontal="left" wrapText="1"/>
    </xf>
    <xf numFmtId="0" fontId="7" fillId="31" borderId="137" xfId="0" applyFont="1" applyFill="1" applyBorder="1" applyAlignment="1">
      <alignment horizontal="left" vertical="center" wrapText="1"/>
    </xf>
    <xf numFmtId="0" fontId="7" fillId="48" borderId="105" xfId="0" applyFont="1" applyFill="1" applyBorder="1" applyAlignment="1">
      <alignment horizontal="left" vertical="center" wrapText="1"/>
    </xf>
    <xf numFmtId="0" fontId="7" fillId="48" borderId="106" xfId="0" applyFont="1" applyFill="1" applyBorder="1" applyAlignment="1">
      <alignment horizontal="left" vertical="center" wrapText="1"/>
    </xf>
    <xf numFmtId="0" fontId="7" fillId="48" borderId="107" xfId="0" applyFont="1" applyFill="1" applyBorder="1" applyAlignment="1">
      <alignment horizontal="left" vertical="center" wrapText="1"/>
    </xf>
    <xf numFmtId="0" fontId="7" fillId="0" borderId="0" xfId="0" applyFont="1" applyAlignment="1">
      <alignment horizontal="left" vertical="center" wrapText="1"/>
    </xf>
    <xf numFmtId="0" fontId="7" fillId="0" borderId="0" xfId="0" applyFont="1" applyAlignment="1">
      <alignment horizontal="left" wrapText="1"/>
    </xf>
    <xf numFmtId="0" fontId="20" fillId="0" borderId="0" xfId="0" applyFont="1" applyAlignment="1">
      <alignment horizontal="left" wrapText="1"/>
    </xf>
    <xf numFmtId="166" fontId="20" fillId="48" borderId="60" xfId="0" applyNumberFormat="1" applyFont="1" applyFill="1" applyBorder="1" applyAlignment="1">
      <alignment wrapText="1"/>
    </xf>
    <xf numFmtId="0" fontId="7" fillId="48" borderId="14" xfId="0" applyFont="1" applyFill="1" applyBorder="1"/>
    <xf numFmtId="0" fontId="7" fillId="48" borderId="15" xfId="0" applyFont="1" applyFill="1" applyBorder="1"/>
    <xf numFmtId="0" fontId="7" fillId="48" borderId="16" xfId="0" applyFont="1" applyFill="1" applyBorder="1"/>
    <xf numFmtId="43" fontId="61" fillId="48" borderId="79" xfId="47" applyFont="1" applyFill="1" applyBorder="1"/>
    <xf numFmtId="43" fontId="61" fillId="48" borderId="101" xfId="47" applyFont="1" applyFill="1" applyBorder="1"/>
    <xf numFmtId="0" fontId="7" fillId="48" borderId="68" xfId="0" applyFont="1" applyFill="1" applyBorder="1"/>
    <xf numFmtId="0" fontId="7" fillId="48" borderId="66" xfId="0" applyFont="1" applyFill="1" applyBorder="1"/>
    <xf numFmtId="0" fontId="7" fillId="48" borderId="77" xfId="0" applyFont="1" applyFill="1" applyBorder="1"/>
    <xf numFmtId="0" fontId="7" fillId="31" borderId="14" xfId="0" applyFont="1" applyFill="1" applyBorder="1" applyAlignment="1">
      <alignment horizontal="center" vertical="center"/>
    </xf>
    <xf numFmtId="0" fontId="7" fillId="31" borderId="15" xfId="0" applyFont="1" applyFill="1" applyBorder="1" applyAlignment="1">
      <alignment horizontal="center" vertical="center"/>
    </xf>
    <xf numFmtId="0" fontId="7" fillId="31" borderId="16" xfId="0" applyFont="1" applyFill="1" applyBorder="1" applyAlignment="1">
      <alignment horizontal="center" vertical="center"/>
    </xf>
    <xf numFmtId="43" fontId="0" fillId="31" borderId="69" xfId="0" applyNumberFormat="1" applyFill="1" applyBorder="1"/>
    <xf numFmtId="43" fontId="7" fillId="49" borderId="102" xfId="47" applyFont="1" applyFill="1" applyBorder="1"/>
    <xf numFmtId="43" fontId="7" fillId="31" borderId="104" xfId="47" applyFont="1" applyFill="1" applyBorder="1"/>
    <xf numFmtId="2" fontId="0" fillId="48" borderId="61" xfId="0" applyNumberFormat="1" applyFill="1" applyBorder="1" applyAlignment="1">
      <alignment horizontal="center" vertical="center"/>
    </xf>
    <xf numFmtId="2" fontId="0" fillId="48" borderId="58" xfId="0" applyNumberFormat="1" applyFill="1" applyBorder="1" applyAlignment="1">
      <alignment horizontal="center" vertical="center"/>
    </xf>
    <xf numFmtId="195" fontId="0" fillId="0" borderId="0" xfId="0" applyNumberFormat="1"/>
    <xf numFmtId="43" fontId="0" fillId="0" borderId="0" xfId="0" applyNumberFormat="1" applyAlignment="1">
      <alignment horizontal="left" wrapText="1"/>
    </xf>
    <xf numFmtId="168" fontId="0" fillId="0" borderId="0" xfId="0" applyNumberFormat="1" applyAlignment="1">
      <alignment horizontal="left" wrapText="1"/>
    </xf>
    <xf numFmtId="2" fontId="0" fillId="48" borderId="63" xfId="0" applyNumberFormat="1" applyFill="1" applyBorder="1" applyAlignment="1">
      <alignment horizontal="center" vertical="center"/>
    </xf>
    <xf numFmtId="0" fontId="0" fillId="31" borderId="11" xfId="0" applyFill="1" applyBorder="1" applyAlignment="1">
      <alignment horizontal="left" wrapText="1"/>
    </xf>
    <xf numFmtId="0" fontId="20" fillId="52" borderId="4" xfId="0" applyFont="1" applyFill="1" applyBorder="1" applyAlignment="1">
      <alignment vertical="center" wrapText="1"/>
    </xf>
    <xf numFmtId="3" fontId="0" fillId="52" borderId="6" xfId="0" applyNumberFormat="1" applyFill="1" applyBorder="1"/>
    <xf numFmtId="0" fontId="7" fillId="49" borderId="5" xfId="0" applyFont="1" applyFill="1" applyBorder="1" applyAlignment="1">
      <alignment horizontal="left" wrapText="1"/>
    </xf>
    <xf numFmtId="0" fontId="7" fillId="49" borderId="6" xfId="0" applyFont="1" applyFill="1" applyBorder="1" applyAlignment="1">
      <alignment horizontal="left" wrapText="1"/>
    </xf>
    <xf numFmtId="0" fontId="7" fillId="49" borderId="75" xfId="0" applyFont="1" applyFill="1" applyBorder="1" applyAlignment="1">
      <alignment horizontal="left" wrapText="1"/>
    </xf>
    <xf numFmtId="0" fontId="7" fillId="49" borderId="7" xfId="0" applyFont="1" applyFill="1" applyBorder="1" applyAlignment="1">
      <alignment horizontal="left" wrapText="1"/>
    </xf>
    <xf numFmtId="0" fontId="0" fillId="31" borderId="107" xfId="0" applyFill="1" applyBorder="1" applyAlignment="1">
      <alignment wrapText="1"/>
    </xf>
    <xf numFmtId="0" fontId="0" fillId="31" borderId="10" xfId="0" applyFill="1" applyBorder="1" applyAlignment="1">
      <alignment wrapText="1"/>
    </xf>
    <xf numFmtId="0" fontId="0" fillId="31" borderId="70" xfId="0" applyFill="1" applyBorder="1" applyAlignment="1">
      <alignment wrapText="1"/>
    </xf>
    <xf numFmtId="0" fontId="0" fillId="31" borderId="70" xfId="0" applyFill="1" applyBorder="1" applyAlignment="1">
      <alignment horizontal="left" wrapText="1"/>
    </xf>
    <xf numFmtId="0" fontId="7" fillId="49" borderId="67" xfId="0" applyFont="1" applyFill="1" applyBorder="1" applyAlignment="1">
      <alignment horizontal="left" wrapText="1"/>
    </xf>
    <xf numFmtId="0" fontId="7" fillId="49" borderId="50" xfId="0" applyFont="1" applyFill="1" applyBorder="1" applyAlignment="1">
      <alignment horizontal="left" wrapText="1"/>
    </xf>
    <xf numFmtId="0" fontId="0" fillId="47" borderId="5" xfId="0" applyFill="1" applyBorder="1"/>
    <xf numFmtId="196" fontId="0" fillId="47" borderId="6" xfId="0" applyNumberFormat="1" applyFill="1" applyBorder="1"/>
    <xf numFmtId="0" fontId="0" fillId="47" borderId="75" xfId="0" applyFill="1" applyBorder="1"/>
    <xf numFmtId="197" fontId="0" fillId="47" borderId="75" xfId="0" applyNumberFormat="1" applyFill="1" applyBorder="1" applyAlignment="1">
      <alignment horizontal="left"/>
    </xf>
    <xf numFmtId="197" fontId="0" fillId="47" borderId="6" xfId="0" applyNumberFormat="1" applyFill="1" applyBorder="1" applyAlignment="1">
      <alignment horizontal="left"/>
    </xf>
    <xf numFmtId="2" fontId="0" fillId="47" borderId="7" xfId="0" applyNumberFormat="1" applyFill="1" applyBorder="1" applyAlignment="1">
      <alignment horizontal="left"/>
    </xf>
    <xf numFmtId="0" fontId="0" fillId="31" borderId="123" xfId="0" applyFill="1" applyBorder="1"/>
    <xf numFmtId="0" fontId="0" fillId="47" borderId="8" xfId="0" applyFill="1" applyBorder="1"/>
    <xf numFmtId="196" fontId="0" fillId="47" borderId="4" xfId="0" applyNumberFormat="1" applyFill="1" applyBorder="1"/>
    <xf numFmtId="0" fontId="0" fillId="47" borderId="57" xfId="0" applyFill="1" applyBorder="1"/>
    <xf numFmtId="197" fontId="0" fillId="47" borderId="57" xfId="0" applyNumberFormat="1" applyFill="1" applyBorder="1" applyAlignment="1">
      <alignment horizontal="left"/>
    </xf>
    <xf numFmtId="197" fontId="0" fillId="47" borderId="4" xfId="0" applyNumberFormat="1" applyFill="1" applyBorder="1" applyAlignment="1">
      <alignment horizontal="left"/>
    </xf>
    <xf numFmtId="2" fontId="0" fillId="47" borderId="9" xfId="0" applyNumberFormat="1" applyFill="1" applyBorder="1" applyAlignment="1">
      <alignment horizontal="left"/>
    </xf>
    <xf numFmtId="0" fontId="0" fillId="31" borderId="80" xfId="0" applyFill="1" applyBorder="1"/>
    <xf numFmtId="0" fontId="0" fillId="47" borderId="10" xfId="0" applyFill="1" applyBorder="1"/>
    <xf numFmtId="196" fontId="0" fillId="47" borderId="11" xfId="0" applyNumberFormat="1" applyFill="1" applyBorder="1"/>
    <xf numFmtId="0" fontId="0" fillId="47" borderId="70" xfId="0" applyFill="1" applyBorder="1"/>
    <xf numFmtId="197" fontId="0" fillId="47" borderId="70" xfId="0" applyNumberFormat="1" applyFill="1" applyBorder="1" applyAlignment="1">
      <alignment horizontal="left"/>
    </xf>
    <xf numFmtId="197" fontId="0" fillId="47" borderId="11" xfId="0" applyNumberFormat="1" applyFill="1" applyBorder="1" applyAlignment="1">
      <alignment horizontal="left"/>
    </xf>
    <xf numFmtId="2" fontId="0" fillId="47" borderId="12" xfId="0" applyNumberFormat="1" applyFill="1" applyBorder="1" applyAlignment="1">
      <alignment horizontal="left"/>
    </xf>
    <xf numFmtId="43" fontId="7" fillId="49" borderId="6" xfId="47" applyFont="1" applyFill="1" applyBorder="1" applyAlignment="1">
      <alignment wrapText="1"/>
    </xf>
    <xf numFmtId="43" fontId="7" fillId="49" borderId="105" xfId="47" applyFont="1" applyFill="1" applyBorder="1" applyAlignment="1">
      <alignment wrapText="1"/>
    </xf>
    <xf numFmtId="0" fontId="52" fillId="0" borderId="87" xfId="0" applyFont="1" applyBorder="1"/>
    <xf numFmtId="182" fontId="52" fillId="0" borderId="4" xfId="0" applyNumberFormat="1" applyFont="1" applyBorder="1" applyAlignment="1">
      <alignment horizontal="center"/>
    </xf>
    <xf numFmtId="0" fontId="52" fillId="42" borderId="58" xfId="0" applyFont="1" applyFill="1" applyBorder="1"/>
    <xf numFmtId="0" fontId="52" fillId="42" borderId="82" xfId="0" applyFont="1" applyFill="1" applyBorder="1" applyAlignment="1">
      <alignment vertical="center"/>
    </xf>
    <xf numFmtId="0" fontId="52" fillId="42" borderId="83" xfId="0" applyFont="1" applyFill="1" applyBorder="1" applyAlignment="1">
      <alignment vertical="center"/>
    </xf>
    <xf numFmtId="0" fontId="52" fillId="42" borderId="22" xfId="0" applyFont="1" applyFill="1" applyBorder="1" applyAlignment="1">
      <alignment vertical="center"/>
    </xf>
    <xf numFmtId="0" fontId="52" fillId="42" borderId="158" xfId="0" applyFont="1" applyFill="1" applyBorder="1" applyAlignment="1">
      <alignment vertical="center"/>
    </xf>
    <xf numFmtId="0" fontId="52" fillId="42" borderId="159" xfId="0" applyFont="1" applyFill="1" applyBorder="1" applyAlignment="1">
      <alignment vertical="center"/>
    </xf>
    <xf numFmtId="0" fontId="52" fillId="42" borderId="160" xfId="0" applyFont="1" applyFill="1" applyBorder="1" applyAlignment="1">
      <alignment vertical="center"/>
    </xf>
    <xf numFmtId="0" fontId="52" fillId="42" borderId="113" xfId="0" applyFont="1" applyFill="1" applyBorder="1" applyAlignment="1">
      <alignment horizontal="center" vertical="center"/>
    </xf>
    <xf numFmtId="0" fontId="52" fillId="42" borderId="13" xfId="0" applyFont="1" applyFill="1" applyBorder="1" applyAlignment="1">
      <alignment horizontal="center" vertical="center"/>
    </xf>
    <xf numFmtId="0" fontId="52" fillId="31" borderId="71" xfId="0" applyFont="1" applyFill="1" applyBorder="1"/>
    <xf numFmtId="0" fontId="52" fillId="31" borderId="113" xfId="0" applyFont="1" applyFill="1" applyBorder="1"/>
    <xf numFmtId="0" fontId="52" fillId="31" borderId="13" xfId="0" applyFont="1" applyFill="1" applyBorder="1"/>
    <xf numFmtId="0" fontId="52" fillId="42" borderId="71" xfId="0" applyFont="1" applyFill="1" applyBorder="1" applyAlignment="1">
      <alignment horizontal="center" vertical="center"/>
    </xf>
    <xf numFmtId="0" fontId="52" fillId="0" borderId="30" xfId="0" applyFont="1" applyBorder="1" applyAlignment="1">
      <alignment horizontal="center"/>
    </xf>
    <xf numFmtId="167" fontId="0" fillId="31" borderId="4" xfId="0" applyNumberFormat="1" applyFill="1" applyBorder="1"/>
    <xf numFmtId="168" fontId="0" fillId="31" borderId="4" xfId="0" applyNumberFormat="1" applyFill="1" applyBorder="1"/>
    <xf numFmtId="4" fontId="52" fillId="42" borderId="30" xfId="0" applyNumberFormat="1" applyFont="1" applyFill="1" applyBorder="1"/>
    <xf numFmtId="4" fontId="52" fillId="46" borderId="30" xfId="47" applyNumberFormat="1" applyFont="1" applyFill="1" applyBorder="1" applyAlignment="1">
      <alignment horizontal="center" vertical="center"/>
    </xf>
    <xf numFmtId="4" fontId="52" fillId="41" borderId="30" xfId="47" applyNumberFormat="1" applyFont="1" applyFill="1" applyBorder="1" applyAlignment="1">
      <alignment horizontal="center" vertical="center"/>
    </xf>
    <xf numFmtId="0" fontId="61" fillId="49" borderId="87" xfId="0" applyFont="1" applyFill="1" applyBorder="1"/>
    <xf numFmtId="0" fontId="52" fillId="31" borderId="92" xfId="0" applyFont="1" applyFill="1" applyBorder="1" applyAlignment="1">
      <alignment horizontal="left"/>
    </xf>
    <xf numFmtId="187" fontId="52" fillId="31" borderId="93" xfId="0" applyNumberFormat="1" applyFont="1" applyFill="1" applyBorder="1" applyAlignment="1">
      <alignment horizontal="left"/>
    </xf>
    <xf numFmtId="0" fontId="52" fillId="31" borderId="30" xfId="0" applyFont="1" applyFill="1" applyBorder="1" applyAlignment="1">
      <alignment horizontal="left"/>
    </xf>
    <xf numFmtId="187" fontId="52" fillId="31" borderId="96" xfId="0" applyNumberFormat="1" applyFont="1" applyFill="1" applyBorder="1" applyAlignment="1">
      <alignment horizontal="left"/>
    </xf>
    <xf numFmtId="0" fontId="0" fillId="31" borderId="84" xfId="0" applyFill="1" applyBorder="1" applyAlignment="1">
      <alignment horizontal="left"/>
    </xf>
    <xf numFmtId="0" fontId="52" fillId="31" borderId="161" xfId="0" applyFont="1" applyFill="1" applyBorder="1" applyAlignment="1">
      <alignment horizontal="left"/>
    </xf>
    <xf numFmtId="0" fontId="0" fillId="31" borderId="22" xfId="0" applyFill="1" applyBorder="1" applyAlignment="1">
      <alignment horizontal="left"/>
    </xf>
    <xf numFmtId="0" fontId="60" fillId="48" borderId="61" xfId="0" applyFont="1" applyFill="1" applyBorder="1" applyAlignment="1">
      <alignment horizontal="center" vertical="center"/>
    </xf>
    <xf numFmtId="0" fontId="60" fillId="48" borderId="58" xfId="0" applyFont="1" applyFill="1" applyBorder="1" applyAlignment="1">
      <alignment horizontal="center" vertical="center"/>
    </xf>
    <xf numFmtId="0" fontId="60" fillId="48" borderId="63" xfId="0" applyFont="1" applyFill="1" applyBorder="1" applyAlignment="1">
      <alignment horizontal="center" vertical="center"/>
    </xf>
    <xf numFmtId="0" fontId="0" fillId="49" borderId="78" xfId="0" applyFill="1" applyBorder="1"/>
    <xf numFmtId="9" fontId="7" fillId="48" borderId="77" xfId="0" applyNumberFormat="1" applyFont="1" applyFill="1" applyBorder="1" applyAlignment="1">
      <alignment horizontal="center" vertical="center"/>
    </xf>
    <xf numFmtId="177" fontId="7" fillId="48" borderId="68" xfId="47" applyNumberFormat="1" applyFont="1" applyFill="1" applyBorder="1" applyAlignment="1">
      <alignment horizontal="center" vertical="center"/>
    </xf>
    <xf numFmtId="1" fontId="7" fillId="48" borderId="68" xfId="0" applyNumberFormat="1" applyFont="1" applyFill="1" applyBorder="1" applyAlignment="1">
      <alignment horizontal="center" vertical="center"/>
    </xf>
    <xf numFmtId="9" fontId="7" fillId="48" borderId="68" xfId="82" applyFont="1" applyFill="1" applyBorder="1" applyAlignment="1">
      <alignment horizontal="center" vertical="center"/>
    </xf>
    <xf numFmtId="9" fontId="7" fillId="48" borderId="66" xfId="0" applyNumberFormat="1" applyFont="1" applyFill="1" applyBorder="1" applyAlignment="1">
      <alignment horizontal="center" vertical="center"/>
    </xf>
    <xf numFmtId="0" fontId="7" fillId="31" borderId="14" xfId="0" applyFont="1" applyFill="1" applyBorder="1" applyAlignment="1">
      <alignment vertical="center" wrapText="1"/>
    </xf>
    <xf numFmtId="0" fontId="7" fillId="31" borderId="15" xfId="0" applyFont="1" applyFill="1" applyBorder="1" applyAlignment="1">
      <alignment vertical="center" wrapText="1"/>
    </xf>
    <xf numFmtId="0" fontId="7" fillId="31" borderId="16" xfId="0" applyFont="1" applyFill="1" applyBorder="1" applyAlignment="1">
      <alignment vertical="center" wrapText="1"/>
    </xf>
    <xf numFmtId="10" fontId="7" fillId="48" borderId="68" xfId="47" applyNumberFormat="1" applyFont="1" applyFill="1" applyBorder="1" applyAlignment="1">
      <alignment horizontal="center" vertical="center"/>
    </xf>
    <xf numFmtId="166" fontId="0" fillId="48" borderId="61" xfId="0" applyNumberFormat="1" applyFill="1" applyBorder="1"/>
    <xf numFmtId="166" fontId="0" fillId="48" borderId="58" xfId="0" applyNumberFormat="1" applyFill="1" applyBorder="1"/>
    <xf numFmtId="166" fontId="0" fillId="48" borderId="63" xfId="0" applyNumberFormat="1" applyFill="1" applyBorder="1"/>
    <xf numFmtId="0" fontId="0" fillId="47" borderId="4" xfId="0" applyFill="1" applyBorder="1" applyAlignment="1">
      <alignment horizontal="center"/>
    </xf>
    <xf numFmtId="0" fontId="20" fillId="0" borderId="0" xfId="0" applyFont="1" applyAlignment="1" applyProtection="1">
      <alignment horizontal="left"/>
      <protection locked="0"/>
    </xf>
    <xf numFmtId="0" fontId="20" fillId="52" borderId="101" xfId="0" applyFont="1" applyFill="1" applyBorder="1" applyAlignment="1" applyProtection="1">
      <alignment horizontal="left"/>
      <protection locked="0"/>
    </xf>
    <xf numFmtId="198" fontId="0" fillId="31" borderId="7" xfId="0" applyNumberFormat="1" applyFill="1" applyBorder="1" applyAlignment="1">
      <alignment horizontal="right" indent="1"/>
    </xf>
    <xf numFmtId="198" fontId="0" fillId="31" borderId="9" xfId="0" applyNumberFormat="1" applyFill="1" applyBorder="1" applyAlignment="1">
      <alignment horizontal="right" indent="1"/>
    </xf>
    <xf numFmtId="170" fontId="0" fillId="31" borderId="4" xfId="0" applyNumberFormat="1" applyFill="1" applyBorder="1"/>
    <xf numFmtId="1" fontId="0" fillId="48" borderId="6" xfId="0" applyNumberFormat="1" applyFill="1" applyBorder="1"/>
    <xf numFmtId="0" fontId="107" fillId="0" borderId="0" xfId="0" applyFont="1"/>
    <xf numFmtId="177" fontId="107" fillId="0" borderId="0" xfId="47" applyNumberFormat="1" applyFont="1"/>
    <xf numFmtId="1" fontId="0" fillId="0" borderId="0" xfId="47" applyNumberFormat="1" applyFont="1" applyFill="1" applyBorder="1" applyAlignment="1">
      <alignment horizontal="center" vertical="center"/>
    </xf>
    <xf numFmtId="2" fontId="0" fillId="0" borderId="0" xfId="47" applyNumberFormat="1" applyFont="1" applyFill="1" applyBorder="1" applyAlignment="1">
      <alignment horizontal="center" vertical="center"/>
    </xf>
    <xf numFmtId="9" fontId="0" fillId="0" borderId="0" xfId="82" applyFont="1" applyFill="1" applyBorder="1" applyAlignment="1">
      <alignment horizontal="center" vertical="center"/>
    </xf>
    <xf numFmtId="0" fontId="0" fillId="52" borderId="60" xfId="0" applyFill="1" applyBorder="1"/>
    <xf numFmtId="0" fontId="0" fillId="52" borderId="13" xfId="0" applyFill="1" applyBorder="1" applyAlignment="1">
      <alignment wrapText="1"/>
    </xf>
    <xf numFmtId="0" fontId="0" fillId="47" borderId="13" xfId="0" applyFill="1" applyBorder="1" applyAlignment="1">
      <alignment horizontal="center"/>
    </xf>
    <xf numFmtId="43" fontId="0" fillId="48" borderId="22" xfId="47" applyFont="1" applyFill="1" applyBorder="1"/>
    <xf numFmtId="43" fontId="0" fillId="48" borderId="13" xfId="47" applyFont="1" applyFill="1" applyBorder="1"/>
    <xf numFmtId="177" fontId="0" fillId="48" borderId="59" xfId="47" applyNumberFormat="1" applyFont="1" applyFill="1" applyBorder="1"/>
    <xf numFmtId="0" fontId="0" fillId="31" borderId="70" xfId="0" applyFill="1" applyBorder="1"/>
    <xf numFmtId="0" fontId="7" fillId="49" borderId="64" xfId="0" applyFont="1" applyFill="1" applyBorder="1"/>
    <xf numFmtId="0" fontId="0" fillId="31" borderId="9" xfId="0" applyFill="1" applyBorder="1" applyAlignment="1">
      <alignment wrapText="1"/>
    </xf>
    <xf numFmtId="0" fontId="0" fillId="31" borderId="78" xfId="0" applyFill="1" applyBorder="1" applyAlignment="1">
      <alignment wrapText="1"/>
    </xf>
    <xf numFmtId="2" fontId="0" fillId="0" borderId="79" xfId="0" applyNumberFormat="1" applyBorder="1" applyAlignment="1">
      <alignment horizontal="center"/>
    </xf>
    <xf numFmtId="1" fontId="97" fillId="47" borderId="13" xfId="0" applyNumberFormat="1" applyFont="1" applyFill="1" applyBorder="1" applyAlignment="1">
      <alignment horizontal="center" vertical="center"/>
    </xf>
    <xf numFmtId="0" fontId="61" fillId="47" borderId="84" xfId="0" applyFont="1" applyFill="1" applyBorder="1" applyAlignment="1">
      <alignment wrapText="1"/>
    </xf>
    <xf numFmtId="0" fontId="19" fillId="31" borderId="8" xfId="0" applyFont="1" applyFill="1" applyBorder="1"/>
    <xf numFmtId="0" fontId="89" fillId="57" borderId="0" xfId="0" applyFont="1" applyFill="1" applyAlignment="1">
      <alignment horizontal="right" vertical="center" wrapText="1"/>
    </xf>
    <xf numFmtId="0" fontId="9" fillId="0" borderId="11" xfId="30" applyBorder="1" applyAlignment="1">
      <alignment horizontal="left" vertical="top" wrapText="1"/>
    </xf>
    <xf numFmtId="0" fontId="9" fillId="0" borderId="4" xfId="30" applyBorder="1" applyAlignment="1">
      <alignment horizontal="left" vertical="top" wrapText="1"/>
    </xf>
    <xf numFmtId="9" fontId="0" fillId="52" borderId="4" xfId="82" applyFont="1" applyFill="1" applyBorder="1" applyAlignment="1" applyProtection="1">
      <alignment horizontal="center" wrapText="1"/>
    </xf>
    <xf numFmtId="1" fontId="20" fillId="31" borderId="9" xfId="0" applyNumberFormat="1" applyFont="1" applyFill="1" applyBorder="1"/>
    <xf numFmtId="2" fontId="7" fillId="0" borderId="0" xfId="0" applyNumberFormat="1" applyFont="1" applyAlignment="1">
      <alignment wrapText="1"/>
    </xf>
    <xf numFmtId="2" fontId="7" fillId="49" borderId="14" xfId="0" applyNumberFormat="1" applyFont="1" applyFill="1" applyBorder="1"/>
    <xf numFmtId="2" fontId="7" fillId="49" borderId="15" xfId="0" applyNumberFormat="1" applyFont="1" applyFill="1" applyBorder="1"/>
    <xf numFmtId="2" fontId="7" fillId="49" borderId="16" xfId="0" applyNumberFormat="1" applyFont="1" applyFill="1" applyBorder="1"/>
    <xf numFmtId="2" fontId="0" fillId="48" borderId="77" xfId="0" applyNumberFormat="1" applyFill="1" applyBorder="1"/>
    <xf numFmtId="2" fontId="0" fillId="48" borderId="68" xfId="0" applyNumberFormat="1" applyFill="1" applyBorder="1"/>
    <xf numFmtId="2" fontId="0" fillId="48" borderId="66" xfId="0" applyNumberFormat="1" applyFill="1" applyBorder="1"/>
    <xf numFmtId="2" fontId="7" fillId="49" borderId="5" xfId="0" applyNumberFormat="1" applyFont="1" applyFill="1" applyBorder="1"/>
    <xf numFmtId="2" fontId="7" fillId="49" borderId="6" xfId="0" applyNumberFormat="1" applyFont="1" applyFill="1" applyBorder="1"/>
    <xf numFmtId="2" fontId="7" fillId="49" borderId="7" xfId="0" applyNumberFormat="1" applyFont="1" applyFill="1" applyBorder="1"/>
    <xf numFmtId="2" fontId="7" fillId="31" borderId="10" xfId="0" applyNumberFormat="1" applyFont="1" applyFill="1" applyBorder="1"/>
    <xf numFmtId="2" fontId="7" fillId="31" borderId="11" xfId="0" applyNumberFormat="1" applyFont="1" applyFill="1" applyBorder="1"/>
    <xf numFmtId="2" fontId="7" fillId="31" borderId="12" xfId="0" applyNumberFormat="1" applyFont="1" applyFill="1" applyBorder="1"/>
    <xf numFmtId="2" fontId="0" fillId="48" borderId="60" xfId="0" applyNumberFormat="1" applyFill="1" applyBorder="1"/>
    <xf numFmtId="2" fontId="0" fillId="48" borderId="59" xfId="0" applyNumberFormat="1" applyFill="1" applyBorder="1"/>
    <xf numFmtId="2" fontId="0" fillId="48" borderId="10" xfId="0" applyNumberFormat="1" applyFill="1" applyBorder="1"/>
    <xf numFmtId="2" fontId="0" fillId="48" borderId="12" xfId="0" applyNumberFormat="1" applyFill="1" applyBorder="1"/>
    <xf numFmtId="2" fontId="0" fillId="0" borderId="0" xfId="47" applyNumberFormat="1" applyFont="1"/>
    <xf numFmtId="2" fontId="74" fillId="0" borderId="0" xfId="0" applyNumberFormat="1" applyFont="1" applyAlignment="1">
      <alignment horizontal="center" vertical="center" wrapText="1"/>
    </xf>
    <xf numFmtId="2" fontId="7" fillId="49" borderId="67" xfId="0" applyNumberFormat="1" applyFont="1" applyFill="1" applyBorder="1" applyAlignment="1">
      <alignment wrapText="1"/>
    </xf>
    <xf numFmtId="2" fontId="7" fillId="49" borderId="81" xfId="0" applyNumberFormat="1" applyFont="1" applyFill="1" applyBorder="1" applyAlignment="1">
      <alignment wrapText="1"/>
    </xf>
    <xf numFmtId="2" fontId="7" fillId="49" borderId="64" xfId="0" applyNumberFormat="1" applyFont="1" applyFill="1" applyBorder="1" applyAlignment="1">
      <alignment wrapText="1"/>
    </xf>
    <xf numFmtId="2" fontId="0" fillId="48" borderId="14" xfId="0" applyNumberFormat="1" applyFill="1" applyBorder="1"/>
    <xf numFmtId="2" fontId="0" fillId="48" borderId="15" xfId="0" applyNumberFormat="1" applyFill="1" applyBorder="1"/>
    <xf numFmtId="2" fontId="0" fillId="48" borderId="16" xfId="0" applyNumberFormat="1" applyFill="1" applyBorder="1"/>
    <xf numFmtId="2" fontId="7" fillId="49" borderId="14" xfId="0" applyNumberFormat="1" applyFont="1" applyFill="1" applyBorder="1" applyAlignment="1">
      <alignment wrapText="1"/>
    </xf>
    <xf numFmtId="2" fontId="7" fillId="49" borderId="15" xfId="0" applyNumberFormat="1" applyFont="1" applyFill="1" applyBorder="1" applyAlignment="1">
      <alignment wrapText="1"/>
    </xf>
    <xf numFmtId="2" fontId="7" fillId="49" borderId="16" xfId="0" applyNumberFormat="1" applyFont="1" applyFill="1" applyBorder="1" applyAlignment="1">
      <alignment wrapText="1"/>
    </xf>
    <xf numFmtId="2" fontId="107" fillId="0" borderId="0" xfId="0" applyNumberFormat="1" applyFont="1"/>
    <xf numFmtId="2" fontId="41" fillId="0" borderId="0" xfId="0" applyNumberFormat="1" applyFont="1" applyAlignment="1">
      <alignment vertical="center" wrapText="1"/>
    </xf>
    <xf numFmtId="2" fontId="7" fillId="49" borderId="5" xfId="0" applyNumberFormat="1" applyFont="1" applyFill="1" applyBorder="1" applyAlignment="1">
      <alignment wrapText="1"/>
    </xf>
    <xf numFmtId="2" fontId="7" fillId="49" borderId="6" xfId="0" applyNumberFormat="1" applyFont="1" applyFill="1" applyBorder="1" applyAlignment="1">
      <alignment wrapText="1"/>
    </xf>
    <xf numFmtId="2" fontId="7" fillId="49" borderId="7" xfId="0" applyNumberFormat="1" applyFont="1" applyFill="1" applyBorder="1" applyAlignment="1">
      <alignment wrapText="1"/>
    </xf>
    <xf numFmtId="2" fontId="7" fillId="31" borderId="69" xfId="0" applyNumberFormat="1" applyFont="1" applyFill="1" applyBorder="1" applyAlignment="1">
      <alignment wrapText="1"/>
    </xf>
    <xf numFmtId="2" fontId="7" fillId="31" borderId="71" xfId="0" applyNumberFormat="1" applyFont="1" applyFill="1" applyBorder="1" applyAlignment="1">
      <alignment wrapText="1"/>
    </xf>
    <xf numFmtId="2" fontId="7" fillId="31" borderId="76" xfId="0" applyNumberFormat="1" applyFont="1" applyFill="1" applyBorder="1" applyAlignment="1">
      <alignment wrapText="1"/>
    </xf>
    <xf numFmtId="2" fontId="0" fillId="48" borderId="5" xfId="0" applyNumberFormat="1" applyFill="1" applyBorder="1"/>
    <xf numFmtId="2" fontId="0" fillId="48" borderId="7" xfId="0" applyNumberFormat="1" applyFill="1" applyBorder="1"/>
    <xf numFmtId="2" fontId="74" fillId="0" borderId="0" xfId="0" applyNumberFormat="1" applyFont="1" applyAlignment="1">
      <alignment vertical="center" wrapText="1"/>
    </xf>
    <xf numFmtId="2" fontId="0" fillId="0" borderId="0" xfId="0" applyNumberFormat="1" applyAlignment="1">
      <alignment vertical="center"/>
    </xf>
    <xf numFmtId="2" fontId="0" fillId="0" borderId="0" xfId="47" applyNumberFormat="1" applyFont="1" applyAlignment="1">
      <alignment vertical="center"/>
    </xf>
    <xf numFmtId="2" fontId="7" fillId="49" borderId="5" xfId="0" applyNumberFormat="1" applyFont="1" applyFill="1" applyBorder="1" applyAlignment="1">
      <alignment horizontal="left" vertical="center" wrapText="1"/>
    </xf>
    <xf numFmtId="2" fontId="7" fillId="49" borderId="6" xfId="0" applyNumberFormat="1" applyFont="1" applyFill="1" applyBorder="1" applyAlignment="1">
      <alignment horizontal="left" vertical="center" wrapText="1"/>
    </xf>
    <xf numFmtId="2" fontId="7" fillId="49" borderId="7" xfId="0" applyNumberFormat="1" applyFont="1" applyFill="1" applyBorder="1" applyAlignment="1">
      <alignment horizontal="left" vertical="center" wrapText="1"/>
    </xf>
    <xf numFmtId="2" fontId="7" fillId="31" borderId="10" xfId="0" applyNumberFormat="1" applyFont="1" applyFill="1" applyBorder="1" applyAlignment="1">
      <alignment horizontal="left" vertical="center"/>
    </xf>
    <xf numFmtId="2" fontId="7" fillId="31" borderId="11" xfId="0" applyNumberFormat="1" applyFont="1" applyFill="1" applyBorder="1" applyAlignment="1">
      <alignment horizontal="left" vertical="center"/>
    </xf>
    <xf numFmtId="2" fontId="7" fillId="31" borderId="12" xfId="0" applyNumberFormat="1" applyFont="1" applyFill="1" applyBorder="1" applyAlignment="1">
      <alignment horizontal="left" vertical="center"/>
    </xf>
    <xf numFmtId="198" fontId="0" fillId="31" borderId="9" xfId="0" applyNumberFormat="1" applyFill="1" applyBorder="1"/>
    <xf numFmtId="0" fontId="0" fillId="48" borderId="58" xfId="0" applyFill="1" applyBorder="1" applyAlignment="1">
      <alignment wrapText="1"/>
    </xf>
    <xf numFmtId="0" fontId="0" fillId="48" borderId="63" xfId="0" applyFill="1" applyBorder="1" applyAlignment="1">
      <alignment wrapText="1"/>
    </xf>
    <xf numFmtId="0" fontId="0" fillId="47" borderId="84" xfId="0" applyFill="1" applyBorder="1" applyAlignment="1">
      <alignment wrapText="1"/>
    </xf>
    <xf numFmtId="9" fontId="0" fillId="47" borderId="6" xfId="82" applyFont="1" applyFill="1" applyBorder="1" applyAlignment="1">
      <alignment wrapText="1"/>
    </xf>
    <xf numFmtId="9" fontId="0" fillId="47" borderId="4" xfId="82" applyFont="1" applyFill="1" applyBorder="1" applyAlignment="1">
      <alignment wrapText="1"/>
    </xf>
    <xf numFmtId="9" fontId="0" fillId="47" borderId="11" xfId="82" applyFont="1" applyFill="1" applyBorder="1" applyAlignment="1">
      <alignment wrapText="1"/>
    </xf>
    <xf numFmtId="0" fontId="7" fillId="49" borderId="75" xfId="0" applyFont="1" applyFill="1" applyBorder="1" applyAlignment="1">
      <alignment horizontal="center" vertical="center" wrapText="1"/>
    </xf>
    <xf numFmtId="0" fontId="0" fillId="31" borderId="65" xfId="0" applyFill="1" applyBorder="1" applyAlignment="1">
      <alignment vertical="center" wrapText="1"/>
    </xf>
    <xf numFmtId="0" fontId="0" fillId="31" borderId="10" xfId="0" applyFill="1" applyBorder="1" applyAlignment="1">
      <alignment vertical="center" wrapText="1"/>
    </xf>
    <xf numFmtId="0" fontId="7" fillId="31" borderId="70" xfId="0" applyFont="1" applyFill="1" applyBorder="1" applyAlignment="1">
      <alignment vertical="center"/>
    </xf>
    <xf numFmtId="0" fontId="0" fillId="48" borderId="157" xfId="0" applyFill="1" applyBorder="1"/>
    <xf numFmtId="0" fontId="0" fillId="48" borderId="108" xfId="0" applyFill="1" applyBorder="1"/>
    <xf numFmtId="0" fontId="0" fillId="48" borderId="109" xfId="0" applyFill="1" applyBorder="1"/>
    <xf numFmtId="0" fontId="7" fillId="31" borderId="69" xfId="0" applyFont="1" applyFill="1" applyBorder="1" applyAlignment="1">
      <alignment vertical="center"/>
    </xf>
    <xf numFmtId="0" fontId="7" fillId="31" borderId="76" xfId="0" applyFont="1" applyFill="1" applyBorder="1" applyAlignment="1">
      <alignment vertical="center" wrapText="1"/>
    </xf>
    <xf numFmtId="198" fontId="0" fillId="31" borderId="76" xfId="0" applyNumberFormat="1" applyFill="1" applyBorder="1" applyAlignment="1">
      <alignment horizontal="right" indent="1"/>
    </xf>
    <xf numFmtId="0" fontId="0" fillId="66" borderId="106" xfId="0" applyFill="1" applyBorder="1" applyAlignment="1">
      <alignment horizontal="center" vertical="center" wrapText="1"/>
    </xf>
    <xf numFmtId="0" fontId="0" fillId="66" borderId="107" xfId="0" applyFill="1" applyBorder="1" applyAlignment="1">
      <alignment horizontal="center" vertical="center" wrapText="1"/>
    </xf>
    <xf numFmtId="10" fontId="0" fillId="48" borderId="63" xfId="82" applyNumberFormat="1" applyFont="1" applyFill="1" applyBorder="1" applyAlignment="1">
      <alignment horizontal="center" vertical="center"/>
    </xf>
    <xf numFmtId="10" fontId="0" fillId="48" borderId="56" xfId="82" applyNumberFormat="1" applyFont="1" applyFill="1" applyBorder="1" applyAlignment="1">
      <alignment horizontal="center" vertical="center"/>
    </xf>
    <xf numFmtId="0" fontId="0" fillId="66" borderId="78" xfId="0" applyFill="1" applyBorder="1" applyAlignment="1">
      <alignment horizontal="center" wrapText="1"/>
    </xf>
    <xf numFmtId="0" fontId="0" fillId="66" borderId="51" xfId="0" applyFill="1" applyBorder="1" applyAlignment="1">
      <alignment horizontal="center" wrapText="1"/>
    </xf>
    <xf numFmtId="2" fontId="0" fillId="36" borderId="8" xfId="0" applyNumberFormat="1" applyFill="1" applyBorder="1" applyAlignment="1">
      <alignment horizontal="center" vertical="center"/>
    </xf>
    <xf numFmtId="2" fontId="0" fillId="36" borderId="9" xfId="0" applyNumberFormat="1" applyFill="1" applyBorder="1" applyAlignment="1">
      <alignment horizontal="center" vertical="center"/>
    </xf>
    <xf numFmtId="1" fontId="0" fillId="36" borderId="8" xfId="0" applyNumberFormat="1" applyFill="1" applyBorder="1" applyAlignment="1">
      <alignment horizontal="center" vertical="center"/>
    </xf>
    <xf numFmtId="1" fontId="0" fillId="36" borderId="9" xfId="0" applyNumberFormat="1" applyFill="1" applyBorder="1" applyAlignment="1">
      <alignment horizontal="center" vertical="center"/>
    </xf>
    <xf numFmtId="0" fontId="0" fillId="36" borderId="8" xfId="0" applyFill="1" applyBorder="1" applyAlignment="1">
      <alignment horizontal="center" vertical="center"/>
    </xf>
    <xf numFmtId="0" fontId="0" fillId="36" borderId="9" xfId="0" applyFill="1" applyBorder="1" applyAlignment="1">
      <alignment horizontal="center" vertical="center"/>
    </xf>
    <xf numFmtId="2" fontId="0" fillId="36" borderId="10" xfId="0" applyNumberFormat="1" applyFill="1" applyBorder="1" applyAlignment="1">
      <alignment horizontal="center" vertical="center"/>
    </xf>
    <xf numFmtId="2" fontId="0" fillId="36" borderId="12" xfId="0" applyNumberFormat="1" applyFill="1" applyBorder="1" applyAlignment="1">
      <alignment horizontal="center" vertical="center"/>
    </xf>
    <xf numFmtId="2" fontId="0" fillId="60" borderId="105" xfId="0" applyNumberFormat="1" applyFill="1" applyBorder="1"/>
    <xf numFmtId="2" fontId="0" fillId="60" borderId="107" xfId="0" applyNumberFormat="1" applyFill="1" applyBorder="1"/>
    <xf numFmtId="2" fontId="0" fillId="52" borderId="12" xfId="0" applyNumberFormat="1" applyFill="1" applyBorder="1"/>
    <xf numFmtId="198" fontId="0" fillId="31" borderId="4" xfId="0" applyNumberFormat="1" applyFill="1" applyBorder="1" applyAlignment="1">
      <alignment horizontal="right" indent="1"/>
    </xf>
    <xf numFmtId="0" fontId="109" fillId="65" borderId="105" xfId="0" applyFont="1" applyFill="1" applyBorder="1"/>
    <xf numFmtId="0" fontId="109" fillId="65" borderId="107" xfId="0" applyFont="1" applyFill="1" applyBorder="1"/>
    <xf numFmtId="14" fontId="109" fillId="65" borderId="104" xfId="0" applyNumberFormat="1" applyFont="1" applyFill="1" applyBorder="1"/>
    <xf numFmtId="0" fontId="109" fillId="0" borderId="0" xfId="0" applyFont="1" applyAlignment="1">
      <alignment horizontal="center" vertical="center"/>
    </xf>
    <xf numFmtId="0" fontId="7" fillId="31" borderId="74" xfId="0" applyFont="1" applyFill="1" applyBorder="1"/>
    <xf numFmtId="0" fontId="7" fillId="49" borderId="5" xfId="0" applyFont="1" applyFill="1" applyBorder="1" applyAlignment="1">
      <alignment vertical="center"/>
    </xf>
    <xf numFmtId="0" fontId="7" fillId="49" borderId="8" xfId="0" applyFont="1" applyFill="1" applyBorder="1" applyAlignment="1">
      <alignment vertical="center"/>
    </xf>
    <xf numFmtId="0" fontId="7" fillId="49" borderId="10" xfId="0" applyFont="1" applyFill="1" applyBorder="1" applyAlignment="1">
      <alignment vertical="center"/>
    </xf>
    <xf numFmtId="0" fontId="7" fillId="0" borderId="0" xfId="0" applyFont="1" applyAlignment="1">
      <alignment horizontal="center" vertical="center"/>
    </xf>
    <xf numFmtId="0" fontId="7" fillId="50" borderId="72" xfId="0" applyFont="1" applyFill="1" applyBorder="1"/>
    <xf numFmtId="0" fontId="7" fillId="50" borderId="101" xfId="0" applyFont="1" applyFill="1" applyBorder="1"/>
    <xf numFmtId="0" fontId="7" fillId="0" borderId="101" xfId="0" applyFont="1" applyBorder="1"/>
    <xf numFmtId="0" fontId="9" fillId="0" borderId="74" xfId="30" applyBorder="1"/>
    <xf numFmtId="0" fontId="7" fillId="0" borderId="105" xfId="0" applyFont="1" applyBorder="1"/>
    <xf numFmtId="0" fontId="9" fillId="0" borderId="102" xfId="30" applyBorder="1"/>
    <xf numFmtId="0" fontId="7" fillId="0" borderId="107" xfId="0" applyFont="1" applyBorder="1"/>
    <xf numFmtId="0" fontId="9" fillId="0" borderId="56" xfId="30" applyBorder="1"/>
    <xf numFmtId="0" fontId="7" fillId="0" borderId="106" xfId="0" applyFont="1" applyBorder="1"/>
    <xf numFmtId="0" fontId="0" fillId="0" borderId="53" xfId="0" applyBorder="1"/>
    <xf numFmtId="0" fontId="0" fillId="0" borderId="56" xfId="0" applyBorder="1"/>
    <xf numFmtId="0" fontId="0" fillId="0" borderId="102" xfId="0" applyBorder="1"/>
    <xf numFmtId="0" fontId="0" fillId="0" borderId="103" xfId="0" applyBorder="1"/>
    <xf numFmtId="0" fontId="0" fillId="0" borderId="104" xfId="0" applyBorder="1"/>
    <xf numFmtId="0" fontId="0" fillId="0" borderId="74" xfId="0" applyBorder="1"/>
    <xf numFmtId="0" fontId="0" fillId="0" borderId="106" xfId="0" applyBorder="1"/>
    <xf numFmtId="0" fontId="9" fillId="0" borderId="103" xfId="30" applyBorder="1"/>
    <xf numFmtId="0" fontId="9" fillId="0" borderId="103" xfId="30" applyBorder="1" applyAlignment="1">
      <alignment wrapText="1"/>
    </xf>
    <xf numFmtId="0" fontId="0" fillId="0" borderId="137" xfId="0" applyBorder="1"/>
    <xf numFmtId="0" fontId="9" fillId="0" borderId="154" xfId="30" applyBorder="1"/>
    <xf numFmtId="0" fontId="0" fillId="0" borderId="105" xfId="0" applyBorder="1" applyAlignment="1">
      <alignment wrapText="1"/>
    </xf>
    <xf numFmtId="0" fontId="0" fillId="0" borderId="107" xfId="0" applyBorder="1"/>
    <xf numFmtId="167" fontId="20" fillId="48" borderId="8" xfId="0" applyNumberFormat="1" applyFont="1" applyFill="1" applyBorder="1" applyAlignment="1">
      <alignment wrapText="1"/>
    </xf>
    <xf numFmtId="167" fontId="20" fillId="48" borderId="10" xfId="0" applyNumberFormat="1" applyFont="1" applyFill="1" applyBorder="1" applyAlignment="1">
      <alignment wrapText="1"/>
    </xf>
    <xf numFmtId="166" fontId="20" fillId="48" borderId="5" xfId="0" applyNumberFormat="1" applyFont="1" applyFill="1" applyBorder="1" applyAlignment="1">
      <alignment wrapText="1"/>
    </xf>
    <xf numFmtId="166" fontId="20" fillId="48" borderId="8" xfId="0" applyNumberFormat="1" applyFont="1" applyFill="1" applyBorder="1" applyAlignment="1">
      <alignment wrapText="1"/>
    </xf>
    <xf numFmtId="166" fontId="20" fillId="48" borderId="10" xfId="0" applyNumberFormat="1" applyFont="1" applyFill="1" applyBorder="1" applyAlignment="1">
      <alignment wrapText="1"/>
    </xf>
    <xf numFmtId="167" fontId="20" fillId="48" borderId="5" xfId="0" applyNumberFormat="1" applyFont="1" applyFill="1" applyBorder="1" applyAlignment="1">
      <alignment wrapText="1"/>
    </xf>
    <xf numFmtId="14" fontId="109" fillId="65" borderId="102" xfId="0" applyNumberFormat="1" applyFont="1" applyFill="1" applyBorder="1"/>
    <xf numFmtId="0" fontId="109" fillId="65" borderId="102" xfId="0" applyFont="1" applyFill="1" applyBorder="1"/>
    <xf numFmtId="0" fontId="9" fillId="0" borderId="49" xfId="30" applyFill="1" applyBorder="1" applyAlignment="1">
      <alignment horizontal="center" vertical="center" wrapText="1"/>
    </xf>
    <xf numFmtId="0" fontId="9" fillId="0" borderId="51" xfId="30" applyFill="1" applyBorder="1" applyAlignment="1">
      <alignment horizontal="center" vertical="center" wrapText="1"/>
    </xf>
    <xf numFmtId="0" fontId="9" fillId="0" borderId="52" xfId="30" applyFill="1" applyBorder="1" applyAlignment="1">
      <alignment horizontal="center" vertical="center" wrapText="1"/>
    </xf>
    <xf numFmtId="0" fontId="9" fillId="0" borderId="53" xfId="30" applyFill="1" applyBorder="1" applyAlignment="1">
      <alignment horizontal="center" vertical="center" wrapText="1"/>
    </xf>
    <xf numFmtId="0" fontId="9" fillId="0" borderId="54" xfId="30" applyFill="1" applyBorder="1" applyAlignment="1">
      <alignment horizontal="center" vertical="center" wrapText="1"/>
    </xf>
    <xf numFmtId="0" fontId="9" fillId="0" borderId="56" xfId="30" applyFill="1" applyBorder="1" applyAlignment="1">
      <alignment horizontal="center" vertical="center" wrapText="1"/>
    </xf>
    <xf numFmtId="0" fontId="7" fillId="31" borderId="49" xfId="0" applyFont="1" applyFill="1" applyBorder="1" applyAlignment="1">
      <alignment horizontal="center" vertical="center" wrapText="1"/>
    </xf>
    <xf numFmtId="0" fontId="7" fillId="31" borderId="50" xfId="0" applyFont="1" applyFill="1" applyBorder="1" applyAlignment="1">
      <alignment horizontal="center" vertical="center" wrapText="1"/>
    </xf>
    <xf numFmtId="0" fontId="7" fillId="31" borderId="51" xfId="0" applyFont="1" applyFill="1" applyBorder="1" applyAlignment="1">
      <alignment horizontal="center" vertical="center" wrapText="1"/>
    </xf>
    <xf numFmtId="0" fontId="7" fillId="31" borderId="52" xfId="0" applyFont="1" applyFill="1" applyBorder="1" applyAlignment="1">
      <alignment horizontal="center" vertical="center" wrapText="1"/>
    </xf>
    <xf numFmtId="0" fontId="7" fillId="31" borderId="0" xfId="0" applyFont="1" applyFill="1" applyAlignment="1">
      <alignment horizontal="center" vertical="center" wrapText="1"/>
    </xf>
    <xf numFmtId="0" fontId="7" fillId="31" borderId="53" xfId="0" applyFont="1" applyFill="1" applyBorder="1" applyAlignment="1">
      <alignment horizontal="center" vertical="center" wrapText="1"/>
    </xf>
    <xf numFmtId="0" fontId="7" fillId="31" borderId="54" xfId="0" applyFont="1" applyFill="1" applyBorder="1" applyAlignment="1">
      <alignment horizontal="center" vertical="center" wrapText="1"/>
    </xf>
    <xf numFmtId="0" fontId="7" fillId="31" borderId="55" xfId="0" applyFont="1" applyFill="1" applyBorder="1" applyAlignment="1">
      <alignment horizontal="center" vertical="center" wrapText="1"/>
    </xf>
    <xf numFmtId="0" fontId="7" fillId="31" borderId="56" xfId="0" applyFont="1" applyFill="1" applyBorder="1" applyAlignment="1">
      <alignment horizontal="center" vertical="center" wrapText="1"/>
    </xf>
    <xf numFmtId="0" fontId="9" fillId="0" borderId="51" xfId="30" applyBorder="1" applyAlignment="1">
      <alignment horizontal="center" vertical="center"/>
    </xf>
    <xf numFmtId="0" fontId="0" fillId="0" borderId="53" xfId="0" applyBorder="1" applyAlignment="1">
      <alignment horizontal="center" vertical="center"/>
    </xf>
    <xf numFmtId="0" fontId="0" fillId="0" borderId="56" xfId="0" applyBorder="1" applyAlignment="1">
      <alignment horizontal="center" vertical="center"/>
    </xf>
    <xf numFmtId="0" fontId="20" fillId="47" borderId="72" xfId="0" applyFont="1" applyFill="1" applyBorder="1" applyAlignment="1" applyProtection="1">
      <alignment horizontal="left"/>
      <protection locked="0"/>
    </xf>
    <xf numFmtId="0" fontId="20" fillId="47" borderId="73" xfId="0" applyFont="1" applyFill="1" applyBorder="1" applyAlignment="1" applyProtection="1">
      <alignment horizontal="left"/>
      <protection locked="0"/>
    </xf>
    <xf numFmtId="0" fontId="20" fillId="47" borderId="74" xfId="0" applyFont="1" applyFill="1" applyBorder="1" applyAlignment="1" applyProtection="1">
      <alignment horizontal="left"/>
      <protection locked="0"/>
    </xf>
    <xf numFmtId="0" fontId="110" fillId="49" borderId="49" xfId="30" applyFont="1" applyFill="1" applyBorder="1" applyAlignment="1">
      <alignment horizontal="center" vertical="center" wrapText="1"/>
    </xf>
    <xf numFmtId="0" fontId="110" fillId="49" borderId="51" xfId="30" applyFont="1" applyFill="1" applyBorder="1" applyAlignment="1">
      <alignment horizontal="center" vertical="center" wrapText="1"/>
    </xf>
    <xf numFmtId="0" fontId="110" fillId="49" borderId="52" xfId="30" applyFont="1" applyFill="1" applyBorder="1" applyAlignment="1">
      <alignment horizontal="center" vertical="center" wrapText="1"/>
    </xf>
    <xf numFmtId="0" fontId="110" fillId="49" borderId="53" xfId="30" applyFont="1" applyFill="1" applyBorder="1" applyAlignment="1">
      <alignment horizontal="center" vertical="center" wrapText="1"/>
    </xf>
    <xf numFmtId="0" fontId="110" fillId="49" borderId="54" xfId="30" applyFont="1" applyFill="1" applyBorder="1" applyAlignment="1">
      <alignment horizontal="center" vertical="center" wrapText="1"/>
    </xf>
    <xf numFmtId="0" fontId="110" fillId="49" borderId="56" xfId="30" applyFont="1" applyFill="1" applyBorder="1" applyAlignment="1">
      <alignment horizontal="center" vertical="center" wrapText="1"/>
    </xf>
    <xf numFmtId="0" fontId="77" fillId="47" borderId="72" xfId="0" applyFont="1" applyFill="1" applyBorder="1" applyAlignment="1">
      <alignment horizontal="center" vertical="center" wrapText="1"/>
    </xf>
    <xf numFmtId="0" fontId="77" fillId="47" borderId="74" xfId="0" applyFont="1" applyFill="1" applyBorder="1" applyAlignment="1">
      <alignment horizontal="center" vertical="center" wrapText="1"/>
    </xf>
    <xf numFmtId="0" fontId="20" fillId="31" borderId="78" xfId="0" applyFont="1" applyFill="1" applyBorder="1" applyAlignment="1">
      <alignment horizontal="left" vertical="center"/>
    </xf>
    <xf numFmtId="0" fontId="20" fillId="31" borderId="80" xfId="0" applyFont="1" applyFill="1" applyBorder="1" applyAlignment="1">
      <alignment horizontal="left" vertical="center"/>
    </xf>
    <xf numFmtId="0" fontId="103" fillId="0" borderId="72" xfId="30" applyFont="1" applyBorder="1" applyAlignment="1">
      <alignment horizontal="center" vertical="center" wrapText="1"/>
    </xf>
    <xf numFmtId="0" fontId="103" fillId="0" borderId="73" xfId="30" applyFont="1" applyBorder="1" applyAlignment="1">
      <alignment horizontal="center" vertical="center" wrapText="1"/>
    </xf>
    <xf numFmtId="0" fontId="103" fillId="0" borderId="74" xfId="30" applyFont="1" applyBorder="1" applyAlignment="1">
      <alignment horizontal="center" vertical="center" wrapText="1"/>
    </xf>
    <xf numFmtId="14" fontId="20" fillId="47" borderId="72" xfId="0" applyNumberFormat="1" applyFont="1" applyFill="1" applyBorder="1" applyAlignment="1" applyProtection="1">
      <alignment horizontal="left"/>
      <protection locked="0"/>
    </xf>
    <xf numFmtId="0" fontId="0" fillId="31" borderId="6" xfId="0" applyFill="1" applyBorder="1" applyAlignment="1">
      <alignment horizontal="left" wrapText="1"/>
    </xf>
    <xf numFmtId="0" fontId="0" fillId="31" borderId="7" xfId="0" applyFill="1" applyBorder="1" applyAlignment="1">
      <alignment horizontal="left" wrapText="1"/>
    </xf>
    <xf numFmtId="0" fontId="0" fillId="31" borderId="4" xfId="0" applyFill="1" applyBorder="1" applyAlignment="1">
      <alignment horizontal="left" wrapText="1"/>
    </xf>
    <xf numFmtId="0" fontId="0" fillId="31" borderId="9" xfId="0" applyFill="1" applyBorder="1" applyAlignment="1">
      <alignment horizontal="left" wrapText="1"/>
    </xf>
    <xf numFmtId="0" fontId="0" fillId="31" borderId="11" xfId="0" applyFill="1" applyBorder="1" applyAlignment="1">
      <alignment horizontal="left" wrapText="1"/>
    </xf>
    <xf numFmtId="0" fontId="0" fillId="31" borderId="12" xfId="0" applyFill="1" applyBorder="1" applyAlignment="1">
      <alignment horizontal="left" wrapText="1"/>
    </xf>
    <xf numFmtId="14" fontId="20" fillId="47" borderId="72" xfId="0" applyNumberFormat="1" applyFont="1" applyFill="1" applyBorder="1" applyAlignment="1" applyProtection="1">
      <alignment horizontal="center" vertical="center"/>
      <protection locked="0"/>
    </xf>
    <xf numFmtId="0" fontId="20" fillId="47" borderId="73" xfId="0" applyFont="1" applyFill="1" applyBorder="1" applyAlignment="1" applyProtection="1">
      <alignment horizontal="center" vertical="center"/>
      <protection locked="0"/>
    </xf>
    <xf numFmtId="0" fontId="20" fillId="47" borderId="74" xfId="0" applyFont="1" applyFill="1" applyBorder="1" applyAlignment="1" applyProtection="1">
      <alignment horizontal="center" vertical="center"/>
      <protection locked="0"/>
    </xf>
    <xf numFmtId="0" fontId="0" fillId="31" borderId="72" xfId="0" applyFill="1" applyBorder="1" applyAlignment="1">
      <alignment horizontal="center"/>
    </xf>
    <xf numFmtId="0" fontId="0" fillId="31" borderId="73" xfId="0" applyFill="1" applyBorder="1" applyAlignment="1">
      <alignment horizontal="center"/>
    </xf>
    <xf numFmtId="0" fontId="0" fillId="31" borderId="74" xfId="0" applyFill="1" applyBorder="1" applyAlignment="1">
      <alignment horizontal="center"/>
    </xf>
    <xf numFmtId="0" fontId="66" fillId="49" borderId="49" xfId="0" applyFont="1" applyFill="1" applyBorder="1" applyAlignment="1">
      <alignment horizontal="center" vertical="center"/>
    </xf>
    <xf numFmtId="0" fontId="66" fillId="49" borderId="51" xfId="0" applyFont="1" applyFill="1" applyBorder="1" applyAlignment="1">
      <alignment horizontal="center" vertical="center"/>
    </xf>
    <xf numFmtId="0" fontId="66" fillId="49" borderId="54" xfId="0" applyFont="1" applyFill="1" applyBorder="1" applyAlignment="1">
      <alignment horizontal="center" vertical="center"/>
    </xf>
    <xf numFmtId="0" fontId="66" fillId="49" borderId="56" xfId="0" applyFont="1" applyFill="1" applyBorder="1" applyAlignment="1">
      <alignment horizontal="center" vertical="center"/>
    </xf>
    <xf numFmtId="0" fontId="77" fillId="48" borderId="72" xfId="0" applyFont="1" applyFill="1" applyBorder="1" applyAlignment="1">
      <alignment horizontal="center" vertical="center"/>
    </xf>
    <xf numFmtId="0" fontId="77" fillId="48" borderId="74" xfId="0" applyFont="1" applyFill="1" applyBorder="1" applyAlignment="1">
      <alignment horizontal="center" vertical="center"/>
    </xf>
    <xf numFmtId="0" fontId="0" fillId="31" borderId="4" xfId="0" applyFill="1" applyBorder="1" applyAlignment="1">
      <alignment horizontal="left" vertical="center"/>
    </xf>
    <xf numFmtId="0" fontId="0" fillId="31" borderId="108" xfId="0" applyFill="1" applyBorder="1" applyAlignment="1">
      <alignment horizontal="left" vertical="center"/>
    </xf>
    <xf numFmtId="0" fontId="0" fillId="31" borderId="62" xfId="0" applyFill="1" applyBorder="1" applyAlignment="1">
      <alignment horizontal="left" vertical="center"/>
    </xf>
    <xf numFmtId="0" fontId="0" fillId="31" borderId="58" xfId="0" applyFill="1" applyBorder="1" applyAlignment="1">
      <alignment horizontal="left" vertical="center"/>
    </xf>
    <xf numFmtId="0" fontId="0" fillId="31" borderId="57" xfId="0" applyFill="1" applyBorder="1" applyAlignment="1">
      <alignment horizontal="left" vertical="center"/>
    </xf>
    <xf numFmtId="0" fontId="0" fillId="31" borderId="57" xfId="0" applyFill="1" applyBorder="1" applyAlignment="1">
      <alignment horizontal="left" wrapText="1"/>
    </xf>
    <xf numFmtId="0" fontId="0" fillId="31" borderId="62" xfId="0" applyFill="1" applyBorder="1" applyAlignment="1">
      <alignment horizontal="left" wrapText="1"/>
    </xf>
    <xf numFmtId="0" fontId="0" fillId="31" borderId="58" xfId="0" applyFill="1" applyBorder="1" applyAlignment="1">
      <alignment horizontal="left" wrapText="1"/>
    </xf>
    <xf numFmtId="0" fontId="0" fillId="31" borderId="8" xfId="0" applyFill="1" applyBorder="1" applyAlignment="1">
      <alignment vertical="center"/>
    </xf>
    <xf numFmtId="0" fontId="0" fillId="31" borderId="4" xfId="0" applyFill="1" applyBorder="1" applyAlignment="1">
      <alignment vertical="center"/>
    </xf>
    <xf numFmtId="0" fontId="0" fillId="31" borderId="8" xfId="0" applyFill="1" applyBorder="1" applyAlignment="1">
      <alignment horizontal="left" vertical="center"/>
    </xf>
    <xf numFmtId="0" fontId="0" fillId="31" borderId="8" xfId="0" applyFill="1" applyBorder="1" applyAlignment="1">
      <alignment vertical="center" wrapText="1"/>
    </xf>
    <xf numFmtId="0" fontId="0" fillId="31" borderId="4" xfId="0" applyFill="1" applyBorder="1" applyAlignment="1">
      <alignment vertical="center" wrapText="1"/>
    </xf>
    <xf numFmtId="0" fontId="0" fillId="31" borderId="8" xfId="0" applyFill="1" applyBorder="1" applyAlignment="1">
      <alignment horizontal="left" vertical="center" wrapText="1"/>
    </xf>
    <xf numFmtId="0" fontId="0" fillId="31" borderId="4" xfId="0" applyFill="1" applyBorder="1" applyAlignment="1">
      <alignment horizontal="left" vertical="center" wrapText="1"/>
    </xf>
    <xf numFmtId="0" fontId="0" fillId="31" borderId="108" xfId="0" applyFill="1" applyBorder="1" applyAlignment="1">
      <alignment horizontal="left" vertical="center" wrapText="1"/>
    </xf>
    <xf numFmtId="0" fontId="0" fillId="31" borderId="62" xfId="0" applyFill="1" applyBorder="1" applyAlignment="1">
      <alignment horizontal="left" vertical="center" wrapText="1"/>
    </xf>
    <xf numFmtId="0" fontId="0" fillId="31" borderId="58" xfId="0" applyFill="1" applyBorder="1" applyAlignment="1">
      <alignment horizontal="left" vertical="center" wrapText="1"/>
    </xf>
    <xf numFmtId="0" fontId="0" fillId="31" borderId="4" xfId="0" applyFill="1" applyBorder="1" applyAlignment="1">
      <alignment horizontal="left"/>
    </xf>
    <xf numFmtId="0" fontId="20" fillId="49" borderId="72" xfId="0" applyFont="1" applyFill="1" applyBorder="1" applyAlignment="1">
      <alignment horizontal="center" wrapText="1"/>
    </xf>
    <xf numFmtId="0" fontId="20" fillId="49" borderId="73" xfId="0" applyFont="1" applyFill="1" applyBorder="1" applyAlignment="1">
      <alignment horizontal="center" wrapText="1"/>
    </xf>
    <xf numFmtId="0" fontId="20" fillId="49" borderId="74" xfId="0" applyFont="1" applyFill="1" applyBorder="1" applyAlignment="1">
      <alignment horizontal="center" wrapText="1"/>
    </xf>
    <xf numFmtId="0" fontId="0" fillId="49" borderId="49" xfId="0" applyFill="1" applyBorder="1" applyAlignment="1">
      <alignment horizontal="center"/>
    </xf>
    <xf numFmtId="0" fontId="0" fillId="49" borderId="50" xfId="0" applyFill="1" applyBorder="1" applyAlignment="1">
      <alignment horizontal="center"/>
    </xf>
    <xf numFmtId="0" fontId="0" fillId="49" borderId="162" xfId="0" applyFill="1" applyBorder="1" applyAlignment="1">
      <alignment horizontal="center"/>
    </xf>
    <xf numFmtId="0" fontId="0" fillId="49" borderId="134" xfId="0" applyFill="1" applyBorder="1" applyAlignment="1">
      <alignment horizontal="center"/>
    </xf>
    <xf numFmtId="0" fontId="0" fillId="49" borderId="51" xfId="0" applyFill="1" applyBorder="1" applyAlignment="1">
      <alignment horizontal="center"/>
    </xf>
    <xf numFmtId="0" fontId="0" fillId="31" borderId="5" xfId="0" applyFill="1" applyBorder="1" applyAlignment="1">
      <alignment vertical="center" wrapText="1"/>
    </xf>
    <xf numFmtId="0" fontId="0" fillId="31" borderId="6" xfId="0" applyFill="1" applyBorder="1" applyAlignment="1">
      <alignment vertical="center" wrapText="1"/>
    </xf>
    <xf numFmtId="17" fontId="61" fillId="31" borderId="71" xfId="0" applyNumberFormat="1" applyFont="1" applyFill="1" applyBorder="1" applyAlignment="1">
      <alignment horizontal="center" vertical="center" wrapText="1"/>
    </xf>
    <xf numFmtId="17" fontId="61" fillId="31" borderId="113" xfId="0" applyNumberFormat="1" applyFont="1" applyFill="1" applyBorder="1" applyAlignment="1">
      <alignment horizontal="center" vertical="center" wrapText="1"/>
    </xf>
    <xf numFmtId="0" fontId="61" fillId="49" borderId="5" xfId="0" applyFont="1" applyFill="1" applyBorder="1" applyAlignment="1">
      <alignment horizontal="center"/>
    </xf>
    <xf numFmtId="0" fontId="61" fillId="49" borderId="7" xfId="0" applyFont="1" applyFill="1" applyBorder="1" applyAlignment="1">
      <alignment horizontal="center"/>
    </xf>
    <xf numFmtId="0" fontId="61" fillId="31" borderId="72" xfId="0" applyFont="1" applyFill="1" applyBorder="1" applyAlignment="1">
      <alignment horizontal="left"/>
    </xf>
    <xf numFmtId="0" fontId="61" fillId="31" borderId="73" xfId="0" applyFont="1" applyFill="1" applyBorder="1" applyAlignment="1">
      <alignment horizontal="left"/>
    </xf>
    <xf numFmtId="0" fontId="61" fillId="31" borderId="74" xfId="0" applyFont="1" applyFill="1" applyBorder="1" applyAlignment="1">
      <alignment horizontal="left"/>
    </xf>
    <xf numFmtId="0" fontId="20" fillId="31" borderId="8" xfId="0" applyFont="1" applyFill="1" applyBorder="1" applyAlignment="1">
      <alignment horizontal="left"/>
    </xf>
    <xf numFmtId="0" fontId="20" fillId="31" borderId="4" xfId="0" applyFont="1" applyFill="1" applyBorder="1" applyAlignment="1">
      <alignment horizontal="left"/>
    </xf>
    <xf numFmtId="0" fontId="20" fillId="31" borderId="9" xfId="0" applyFont="1" applyFill="1" applyBorder="1" applyAlignment="1">
      <alignment horizontal="left"/>
    </xf>
    <xf numFmtId="2" fontId="0" fillId="48" borderId="137" xfId="0" applyNumberFormat="1" applyFill="1" applyBorder="1" applyAlignment="1">
      <alignment horizontal="center"/>
    </xf>
    <xf numFmtId="2" fontId="0" fillId="48" borderId="80" xfId="0" applyNumberFormat="1" applyFill="1" applyBorder="1" applyAlignment="1">
      <alignment horizontal="center"/>
    </xf>
    <xf numFmtId="9" fontId="0" fillId="48" borderId="78" xfId="82" applyFont="1" applyFill="1" applyBorder="1" applyAlignment="1">
      <alignment horizontal="center" vertical="center"/>
    </xf>
    <xf numFmtId="9" fontId="0" fillId="48" borderId="80" xfId="82" applyFont="1" applyFill="1" applyBorder="1" applyAlignment="1">
      <alignment horizontal="center" vertical="center"/>
    </xf>
    <xf numFmtId="0" fontId="20" fillId="31" borderId="72" xfId="0" applyFont="1" applyFill="1" applyBorder="1" applyAlignment="1">
      <alignment horizontal="left" wrapText="1"/>
    </xf>
    <xf numFmtId="0" fontId="20" fillId="31" borderId="73" xfId="0" applyFont="1" applyFill="1" applyBorder="1" applyAlignment="1">
      <alignment horizontal="left" wrapText="1"/>
    </xf>
    <xf numFmtId="0" fontId="20" fillId="31" borderId="74" xfId="0" applyFont="1" applyFill="1" applyBorder="1" applyAlignment="1">
      <alignment horizontal="left" wrapText="1"/>
    </xf>
    <xf numFmtId="0" fontId="61" fillId="31" borderId="78" xfId="0" applyFont="1" applyFill="1" applyBorder="1" applyAlignment="1">
      <alignment horizontal="left" vertical="center"/>
    </xf>
    <xf numFmtId="0" fontId="61" fillId="31" borderId="79" xfId="0" applyFont="1" applyFill="1" applyBorder="1" applyAlignment="1">
      <alignment horizontal="left" vertical="center"/>
    </xf>
    <xf numFmtId="0" fontId="61" fillId="31" borderId="80" xfId="0" applyFont="1" applyFill="1" applyBorder="1" applyAlignment="1">
      <alignment horizontal="left" vertical="center"/>
    </xf>
    <xf numFmtId="0" fontId="61" fillId="31" borderId="0" xfId="0" applyFont="1" applyFill="1" applyAlignment="1">
      <alignment horizontal="left"/>
    </xf>
    <xf numFmtId="0" fontId="61" fillId="31" borderId="53" xfId="0" applyFont="1" applyFill="1" applyBorder="1" applyAlignment="1">
      <alignment horizontal="left"/>
    </xf>
    <xf numFmtId="0" fontId="61" fillId="31" borderId="72" xfId="0" applyFont="1" applyFill="1" applyBorder="1" applyAlignment="1">
      <alignment horizontal="center" vertical="center"/>
    </xf>
    <xf numFmtId="0" fontId="61" fillId="31" borderId="73" xfId="0" applyFont="1" applyFill="1" applyBorder="1" applyAlignment="1">
      <alignment horizontal="center" vertical="center"/>
    </xf>
    <xf numFmtId="0" fontId="20" fillId="31" borderId="108" xfId="0" applyFont="1" applyFill="1" applyBorder="1" applyAlignment="1">
      <alignment horizontal="left"/>
    </xf>
    <xf numFmtId="0" fontId="20" fillId="31" borderId="62" xfId="0" applyFont="1" applyFill="1" applyBorder="1" applyAlignment="1">
      <alignment horizontal="left"/>
    </xf>
    <xf numFmtId="0" fontId="20" fillId="31" borderId="103" xfId="0" applyFont="1" applyFill="1" applyBorder="1" applyAlignment="1">
      <alignment horizontal="left"/>
    </xf>
    <xf numFmtId="0" fontId="61" fillId="31" borderId="49" xfId="0" applyFont="1" applyFill="1" applyBorder="1" applyAlignment="1">
      <alignment horizontal="left" vertical="center"/>
    </xf>
    <xf numFmtId="0" fontId="61" fillId="31" borderId="54" xfId="0" applyFont="1" applyFill="1" applyBorder="1" applyAlignment="1">
      <alignment horizontal="left" vertical="center"/>
    </xf>
    <xf numFmtId="0" fontId="20" fillId="31" borderId="5" xfId="0" applyFont="1" applyFill="1" applyBorder="1" applyAlignment="1">
      <alignment horizontal="left"/>
    </xf>
    <xf numFmtId="0" fontId="20" fillId="31" borderId="6" xfId="0" applyFont="1" applyFill="1" applyBorder="1" applyAlignment="1">
      <alignment horizontal="left"/>
    </xf>
    <xf numFmtId="0" fontId="20" fillId="31" borderId="75" xfId="0" applyFont="1" applyFill="1" applyBorder="1" applyAlignment="1">
      <alignment horizontal="left"/>
    </xf>
    <xf numFmtId="0" fontId="20" fillId="31" borderId="10" xfId="0" applyFont="1" applyFill="1" applyBorder="1" applyAlignment="1">
      <alignment horizontal="left"/>
    </xf>
    <xf numFmtId="0" fontId="20" fillId="31" borderId="11" xfId="0" applyFont="1" applyFill="1" applyBorder="1" applyAlignment="1">
      <alignment horizontal="left"/>
    </xf>
    <xf numFmtId="0" fontId="20" fillId="31" borderId="70" xfId="0" applyFont="1" applyFill="1" applyBorder="1" applyAlignment="1">
      <alignment horizontal="left"/>
    </xf>
    <xf numFmtId="0" fontId="20" fillId="31" borderId="111" xfId="0" applyFont="1" applyFill="1" applyBorder="1" applyAlignment="1">
      <alignment horizontal="left"/>
    </xf>
    <xf numFmtId="0" fontId="20" fillId="31" borderId="112" xfId="0" applyFont="1" applyFill="1" applyBorder="1" applyAlignment="1">
      <alignment horizontal="left"/>
    </xf>
    <xf numFmtId="0" fontId="20" fillId="31" borderId="102" xfId="0" applyFont="1" applyFill="1" applyBorder="1" applyAlignment="1">
      <alignment horizontal="left"/>
    </xf>
    <xf numFmtId="0" fontId="20" fillId="31" borderId="12" xfId="0" applyFont="1" applyFill="1" applyBorder="1" applyAlignment="1">
      <alignment horizontal="left"/>
    </xf>
    <xf numFmtId="0" fontId="0" fillId="31" borderId="72" xfId="0" applyFill="1" applyBorder="1" applyAlignment="1">
      <alignment horizontal="left" wrapText="1"/>
    </xf>
    <xf numFmtId="0" fontId="0" fillId="31" borderId="73" xfId="0" applyFill="1" applyBorder="1" applyAlignment="1">
      <alignment horizontal="left" wrapText="1"/>
    </xf>
    <xf numFmtId="0" fontId="0" fillId="31" borderId="74" xfId="0" applyFill="1" applyBorder="1" applyAlignment="1">
      <alignment horizontal="left" wrapText="1"/>
    </xf>
    <xf numFmtId="0" fontId="7" fillId="31" borderId="72" xfId="0" applyFont="1" applyFill="1" applyBorder="1" applyAlignment="1">
      <alignment horizontal="center" wrapText="1"/>
    </xf>
    <xf numFmtId="0" fontId="7" fillId="31" borderId="73" xfId="0" applyFont="1" applyFill="1" applyBorder="1" applyAlignment="1">
      <alignment horizontal="center" wrapText="1"/>
    </xf>
    <xf numFmtId="0" fontId="7" fillId="31" borderId="74" xfId="0" applyFont="1" applyFill="1" applyBorder="1" applyAlignment="1">
      <alignment horizontal="center" wrapText="1"/>
    </xf>
    <xf numFmtId="0" fontId="0" fillId="31" borderId="49" xfId="0" applyFill="1" applyBorder="1" applyAlignment="1">
      <alignment horizontal="left" vertical="center" wrapText="1"/>
    </xf>
    <xf numFmtId="0" fontId="0" fillId="31" borderId="50" xfId="0" applyFill="1" applyBorder="1" applyAlignment="1">
      <alignment horizontal="left" vertical="center" wrapText="1"/>
    </xf>
    <xf numFmtId="0" fontId="0" fillId="31" borderId="51" xfId="0" applyFill="1" applyBorder="1" applyAlignment="1">
      <alignment horizontal="left" vertical="center" wrapText="1"/>
    </xf>
    <xf numFmtId="0" fontId="0" fillId="31" borderId="54" xfId="0" applyFill="1" applyBorder="1" applyAlignment="1">
      <alignment horizontal="left" vertical="center" wrapText="1"/>
    </xf>
    <xf numFmtId="0" fontId="0" fillId="31" borderId="55" xfId="0" applyFill="1" applyBorder="1" applyAlignment="1">
      <alignment horizontal="left" vertical="center" wrapText="1"/>
    </xf>
    <xf numFmtId="0" fontId="0" fillId="31" borderId="56" xfId="0" applyFill="1" applyBorder="1" applyAlignment="1">
      <alignment horizontal="left" vertical="center" wrapText="1"/>
    </xf>
    <xf numFmtId="0" fontId="7" fillId="49" borderId="72" xfId="0" applyFont="1" applyFill="1" applyBorder="1" applyAlignment="1">
      <alignment horizontal="center"/>
    </xf>
    <xf numFmtId="0" fontId="7" fillId="49" borderId="73" xfId="0" applyFont="1" applyFill="1" applyBorder="1" applyAlignment="1">
      <alignment horizontal="center"/>
    </xf>
    <xf numFmtId="0" fontId="7" fillId="49" borderId="74" xfId="0" applyFont="1" applyFill="1" applyBorder="1" applyAlignment="1">
      <alignment horizontal="center"/>
    </xf>
    <xf numFmtId="0" fontId="0" fillId="31" borderId="49" xfId="0" applyFill="1" applyBorder="1" applyAlignment="1">
      <alignment horizontal="center" vertical="center" wrapText="1"/>
    </xf>
    <xf numFmtId="0" fontId="0" fillId="31" borderId="50" xfId="0" applyFill="1" applyBorder="1" applyAlignment="1">
      <alignment horizontal="center" vertical="center" wrapText="1"/>
    </xf>
    <xf numFmtId="0" fontId="0" fillId="31" borderId="51" xfId="0" applyFill="1" applyBorder="1" applyAlignment="1">
      <alignment horizontal="center" vertical="center" wrapText="1"/>
    </xf>
    <xf numFmtId="0" fontId="0" fillId="31" borderId="52" xfId="0" applyFill="1" applyBorder="1" applyAlignment="1">
      <alignment horizontal="center" vertical="center" wrapText="1"/>
    </xf>
    <xf numFmtId="0" fontId="0" fillId="31" borderId="0" xfId="0" applyFill="1" applyAlignment="1">
      <alignment horizontal="center" vertical="center" wrapText="1"/>
    </xf>
    <xf numFmtId="0" fontId="0" fillId="31" borderId="53" xfId="0" applyFill="1" applyBorder="1" applyAlignment="1">
      <alignment horizontal="center" vertical="center" wrapText="1"/>
    </xf>
    <xf numFmtId="0" fontId="0" fillId="31" borderId="54" xfId="0" applyFill="1" applyBorder="1" applyAlignment="1">
      <alignment horizontal="center" vertical="center" wrapText="1"/>
    </xf>
    <xf numFmtId="0" fontId="0" fillId="31" borderId="55" xfId="0" applyFill="1" applyBorder="1" applyAlignment="1">
      <alignment horizontal="center" vertical="center" wrapText="1"/>
    </xf>
    <xf numFmtId="0" fontId="0" fillId="31" borderId="56" xfId="0" applyFill="1" applyBorder="1" applyAlignment="1">
      <alignment horizontal="center" vertical="center" wrapText="1"/>
    </xf>
    <xf numFmtId="0" fontId="0" fillId="0" borderId="78" xfId="0" applyBorder="1" applyAlignment="1">
      <alignment horizontal="center"/>
    </xf>
    <xf numFmtId="0" fontId="0" fillId="0" borderId="79" xfId="0" applyBorder="1" applyAlignment="1">
      <alignment horizontal="center"/>
    </xf>
    <xf numFmtId="0" fontId="0" fillId="0" borderId="80" xfId="0" applyBorder="1" applyAlignment="1">
      <alignment horizontal="center"/>
    </xf>
    <xf numFmtId="0" fontId="0" fillId="31" borderId="49" xfId="0" applyFill="1" applyBorder="1" applyAlignment="1">
      <alignment horizontal="left" vertical="top" wrapText="1"/>
    </xf>
    <xf numFmtId="0" fontId="0" fillId="31" borderId="50" xfId="0" applyFill="1" applyBorder="1" applyAlignment="1">
      <alignment horizontal="left" vertical="top" wrapText="1"/>
    </xf>
    <xf numFmtId="0" fontId="0" fillId="31" borderId="51" xfId="0" applyFill="1" applyBorder="1" applyAlignment="1">
      <alignment horizontal="left" vertical="top" wrapText="1"/>
    </xf>
    <xf numFmtId="0" fontId="0" fillId="31" borderId="52" xfId="0" applyFill="1" applyBorder="1" applyAlignment="1">
      <alignment horizontal="left" vertical="top" wrapText="1"/>
    </xf>
    <xf numFmtId="0" fontId="0" fillId="31" borderId="0" xfId="0" applyFill="1" applyAlignment="1">
      <alignment horizontal="left" vertical="top" wrapText="1"/>
    </xf>
    <xf numFmtId="0" fontId="0" fillId="31" borderId="53" xfId="0" applyFill="1" applyBorder="1" applyAlignment="1">
      <alignment horizontal="left" vertical="top" wrapText="1"/>
    </xf>
    <xf numFmtId="0" fontId="0" fillId="31" borderId="54" xfId="0" applyFill="1" applyBorder="1" applyAlignment="1">
      <alignment horizontal="left" vertical="top" wrapText="1"/>
    </xf>
    <xf numFmtId="0" fontId="0" fillId="31" borderId="55" xfId="0" applyFill="1" applyBorder="1" applyAlignment="1">
      <alignment horizontal="left" vertical="top" wrapText="1"/>
    </xf>
    <xf numFmtId="0" fontId="0" fillId="31" borderId="56" xfId="0" applyFill="1" applyBorder="1" applyAlignment="1">
      <alignment horizontal="left" vertical="top" wrapText="1"/>
    </xf>
    <xf numFmtId="0" fontId="7" fillId="49" borderId="49" xfId="0" applyFont="1" applyFill="1" applyBorder="1" applyAlignment="1">
      <alignment horizontal="center"/>
    </xf>
    <xf numFmtId="0" fontId="7" fillId="49" borderId="50" xfId="0" applyFont="1" applyFill="1" applyBorder="1" applyAlignment="1">
      <alignment horizontal="center"/>
    </xf>
    <xf numFmtId="0" fontId="7" fillId="49" borderId="51" xfId="0" applyFont="1" applyFill="1" applyBorder="1" applyAlignment="1">
      <alignment horizontal="center"/>
    </xf>
    <xf numFmtId="0" fontId="7" fillId="31" borderId="5" xfId="0" applyFont="1" applyFill="1" applyBorder="1" applyAlignment="1">
      <alignment horizontal="left"/>
    </xf>
    <xf numFmtId="0" fontId="7" fillId="31" borderId="6" xfId="0" applyFont="1" applyFill="1" applyBorder="1" applyAlignment="1">
      <alignment horizontal="left"/>
    </xf>
    <xf numFmtId="0" fontId="7" fillId="31" borderId="75" xfId="0" applyFont="1" applyFill="1" applyBorder="1" applyAlignment="1">
      <alignment horizontal="left"/>
    </xf>
    <xf numFmtId="0" fontId="7" fillId="31" borderId="10" xfId="0" applyFont="1" applyFill="1" applyBorder="1" applyAlignment="1">
      <alignment horizontal="left"/>
    </xf>
    <xf numFmtId="0" fontId="7" fillId="31" borderId="11" xfId="0" applyFont="1" applyFill="1" applyBorder="1" applyAlignment="1">
      <alignment horizontal="left"/>
    </xf>
    <xf numFmtId="0" fontId="7" fillId="31" borderId="70" xfId="0" applyFont="1" applyFill="1" applyBorder="1" applyAlignment="1">
      <alignment horizontal="left"/>
    </xf>
    <xf numFmtId="0" fontId="0" fillId="66" borderId="10" xfId="0" applyFill="1" applyBorder="1" applyAlignment="1">
      <alignment horizontal="center" wrapText="1"/>
    </xf>
    <xf numFmtId="0" fontId="0" fillId="66" borderId="11" xfId="0" applyFill="1" applyBorder="1" applyAlignment="1">
      <alignment horizontal="center" wrapText="1"/>
    </xf>
    <xf numFmtId="0" fontId="0" fillId="66" borderId="12" xfId="0" applyFill="1" applyBorder="1" applyAlignment="1">
      <alignment horizontal="center" wrapText="1"/>
    </xf>
    <xf numFmtId="0" fontId="7" fillId="66" borderId="49" xfId="0" applyFont="1" applyFill="1" applyBorder="1" applyAlignment="1">
      <alignment horizontal="center" vertical="center" wrapText="1"/>
    </xf>
    <xf numFmtId="0" fontId="7" fillId="66" borderId="50" xfId="0" applyFont="1" applyFill="1" applyBorder="1" applyAlignment="1">
      <alignment horizontal="center" vertical="center" wrapText="1"/>
    </xf>
    <xf numFmtId="0" fontId="7" fillId="66" borderId="51" xfId="0" applyFont="1" applyFill="1" applyBorder="1" applyAlignment="1">
      <alignment horizontal="center" vertical="center" wrapText="1"/>
    </xf>
    <xf numFmtId="0" fontId="0" fillId="66" borderId="105" xfId="0" applyFill="1" applyBorder="1" applyAlignment="1">
      <alignment horizontal="center" vertical="center" wrapText="1"/>
    </xf>
    <xf numFmtId="0" fontId="0" fillId="66" borderId="106" xfId="0" applyFill="1" applyBorder="1" applyAlignment="1">
      <alignment horizontal="center" vertical="center" wrapText="1"/>
    </xf>
    <xf numFmtId="2" fontId="0" fillId="36" borderId="5" xfId="0" applyNumberFormat="1" applyFill="1" applyBorder="1" applyAlignment="1">
      <alignment horizontal="center" vertical="center"/>
    </xf>
    <xf numFmtId="2" fontId="0" fillId="36" borderId="8" xfId="0" applyNumberFormat="1" applyFill="1" applyBorder="1" applyAlignment="1">
      <alignment horizontal="center" vertical="center"/>
    </xf>
    <xf numFmtId="2" fontId="0" fillId="36" borderId="7" xfId="0" applyNumberFormat="1" applyFill="1" applyBorder="1" applyAlignment="1">
      <alignment horizontal="center" vertical="center"/>
    </xf>
    <xf numFmtId="2" fontId="0" fillId="36" borderId="9" xfId="0" applyNumberFormat="1" applyFill="1" applyBorder="1" applyAlignment="1">
      <alignment horizontal="center" vertical="center"/>
    </xf>
    <xf numFmtId="0" fontId="0" fillId="66" borderId="5" xfId="0" applyFill="1" applyBorder="1" applyAlignment="1">
      <alignment horizontal="left" wrapText="1"/>
    </xf>
    <xf numFmtId="0" fontId="0" fillId="66" borderId="6" xfId="0" applyFill="1" applyBorder="1" applyAlignment="1">
      <alignment horizontal="left" wrapText="1"/>
    </xf>
    <xf numFmtId="0" fontId="0" fillId="66" borderId="7" xfId="0" applyFill="1" applyBorder="1" applyAlignment="1">
      <alignment horizontal="left" wrapText="1"/>
    </xf>
    <xf numFmtId="0" fontId="0" fillId="66" borderId="8" xfId="0" applyFill="1" applyBorder="1" applyAlignment="1">
      <alignment horizontal="left" wrapText="1"/>
    </xf>
    <xf numFmtId="0" fontId="0" fillId="66" borderId="4" xfId="0" applyFill="1" applyBorder="1" applyAlignment="1">
      <alignment horizontal="left" wrapText="1"/>
    </xf>
    <xf numFmtId="0" fontId="0" fillId="66" borderId="9" xfId="0" applyFill="1" applyBorder="1" applyAlignment="1">
      <alignment horizontal="left" wrapText="1"/>
    </xf>
    <xf numFmtId="0" fontId="0" fillId="36" borderId="8" xfId="0" applyFill="1" applyBorder="1" applyAlignment="1">
      <alignment horizontal="center" vertical="center"/>
    </xf>
    <xf numFmtId="0" fontId="0" fillId="36" borderId="9" xfId="0" applyFill="1" applyBorder="1" applyAlignment="1">
      <alignment horizontal="center" vertical="center"/>
    </xf>
    <xf numFmtId="0" fontId="0" fillId="66" borderId="8" xfId="0" applyFill="1" applyBorder="1" applyAlignment="1">
      <alignment horizontal="left" vertical="center" wrapText="1"/>
    </xf>
    <xf numFmtId="0" fontId="0" fillId="66" borderId="4" xfId="0" applyFill="1" applyBorder="1" applyAlignment="1">
      <alignment horizontal="left" vertical="center" wrapText="1"/>
    </xf>
    <xf numFmtId="0" fontId="0" fillId="66" borderId="9" xfId="0" applyFill="1" applyBorder="1" applyAlignment="1">
      <alignment horizontal="left" vertical="center" wrapText="1"/>
    </xf>
    <xf numFmtId="0" fontId="0" fillId="36" borderId="8" xfId="0" applyFill="1" applyBorder="1" applyAlignment="1">
      <alignment vertical="center"/>
    </xf>
    <xf numFmtId="0" fontId="0" fillId="36" borderId="9" xfId="0" applyFill="1" applyBorder="1" applyAlignment="1">
      <alignment vertical="center"/>
    </xf>
    <xf numFmtId="0" fontId="0" fillId="47" borderId="57" xfId="0" applyFill="1" applyBorder="1" applyAlignment="1">
      <alignment horizontal="left"/>
    </xf>
    <xf numFmtId="0" fontId="0" fillId="47" borderId="58" xfId="0" applyFill="1" applyBorder="1" applyAlignment="1">
      <alignment horizontal="left"/>
    </xf>
    <xf numFmtId="0" fontId="0" fillId="47" borderId="70" xfId="0" applyFill="1" applyBorder="1" applyAlignment="1">
      <alignment horizontal="left"/>
    </xf>
    <xf numFmtId="0" fontId="0" fillId="47" borderId="63" xfId="0" applyFill="1" applyBorder="1" applyAlignment="1">
      <alignment horizontal="left"/>
    </xf>
    <xf numFmtId="0" fontId="7" fillId="49" borderId="14" xfId="0" applyFont="1" applyFill="1" applyBorder="1" applyAlignment="1">
      <alignment horizontal="center" vertical="center" wrapText="1"/>
    </xf>
    <xf numFmtId="0" fontId="7" fillId="49" borderId="73" xfId="0" applyFont="1" applyFill="1" applyBorder="1" applyAlignment="1">
      <alignment horizontal="center" vertical="center" wrapText="1"/>
    </xf>
    <xf numFmtId="0" fontId="7" fillId="49" borderId="16" xfId="0" applyFont="1" applyFill="1" applyBorder="1" applyAlignment="1">
      <alignment horizontal="center" vertical="center" wrapText="1"/>
    </xf>
    <xf numFmtId="0" fontId="0" fillId="31" borderId="70" xfId="0" applyFill="1" applyBorder="1" applyAlignment="1">
      <alignment horizontal="left" wrapText="1"/>
    </xf>
    <xf numFmtId="0" fontId="0" fillId="31" borderId="63" xfId="0" applyFill="1" applyBorder="1" applyAlignment="1">
      <alignment horizontal="left" wrapText="1"/>
    </xf>
    <xf numFmtId="0" fontId="0" fillId="47" borderId="75" xfId="0" applyFill="1" applyBorder="1" applyAlignment="1">
      <alignment horizontal="left"/>
    </xf>
    <xf numFmtId="0" fontId="0" fillId="47" borderId="61" xfId="0" applyFill="1" applyBorder="1" applyAlignment="1">
      <alignment horizontal="left"/>
    </xf>
    <xf numFmtId="0" fontId="0" fillId="31" borderId="5" xfId="0" applyFill="1" applyBorder="1" applyAlignment="1">
      <alignment horizontal="left" wrapText="1"/>
    </xf>
    <xf numFmtId="0" fontId="0" fillId="31" borderId="61" xfId="0" applyFill="1" applyBorder="1" applyAlignment="1">
      <alignment horizontal="left" wrapText="1"/>
    </xf>
    <xf numFmtId="0" fontId="0" fillId="49" borderId="78" xfId="0" applyFill="1" applyBorder="1" applyAlignment="1">
      <alignment horizontal="center" vertical="center"/>
    </xf>
    <xf numFmtId="0" fontId="0" fillId="49" borderId="79" xfId="0" applyFill="1" applyBorder="1" applyAlignment="1">
      <alignment horizontal="center" vertical="center"/>
    </xf>
    <xf numFmtId="0" fontId="0" fillId="49" borderId="80" xfId="0" applyFill="1" applyBorder="1" applyAlignment="1">
      <alignment horizontal="center" vertical="center"/>
    </xf>
    <xf numFmtId="0" fontId="74" fillId="47" borderId="49" xfId="0" applyFont="1" applyFill="1" applyBorder="1" applyAlignment="1">
      <alignment horizontal="center" vertical="center" wrapText="1"/>
    </xf>
    <xf numFmtId="0" fontId="74" fillId="47" borderId="50" xfId="0" applyFont="1" applyFill="1" applyBorder="1" applyAlignment="1">
      <alignment horizontal="center" vertical="center" wrapText="1"/>
    </xf>
    <xf numFmtId="0" fontId="74" fillId="47" borderId="51" xfId="0" applyFont="1" applyFill="1" applyBorder="1" applyAlignment="1">
      <alignment horizontal="center" vertical="center" wrapText="1"/>
    </xf>
    <xf numFmtId="0" fontId="74" fillId="47" borderId="52" xfId="0" applyFont="1" applyFill="1" applyBorder="1" applyAlignment="1">
      <alignment horizontal="center" vertical="center" wrapText="1"/>
    </xf>
    <xf numFmtId="0" fontId="74" fillId="47" borderId="0" xfId="0" applyFont="1" applyFill="1" applyAlignment="1">
      <alignment horizontal="center" vertical="center" wrapText="1"/>
    </xf>
    <xf numFmtId="0" fontId="74" fillId="47" borderId="53" xfId="0" applyFont="1" applyFill="1" applyBorder="1" applyAlignment="1">
      <alignment horizontal="center" vertical="center" wrapText="1"/>
    </xf>
    <xf numFmtId="0" fontId="74" fillId="47" borderId="54" xfId="0" applyFont="1" applyFill="1" applyBorder="1" applyAlignment="1">
      <alignment horizontal="center" vertical="center" wrapText="1"/>
    </xf>
    <xf numFmtId="0" fontId="74" fillId="47" borderId="55" xfId="0" applyFont="1" applyFill="1" applyBorder="1" applyAlignment="1">
      <alignment horizontal="center" vertical="center" wrapText="1"/>
    </xf>
    <xf numFmtId="0" fontId="74" fillId="47" borderId="56" xfId="0" applyFont="1" applyFill="1" applyBorder="1" applyAlignment="1">
      <alignment horizontal="center" vertical="center" wrapText="1"/>
    </xf>
    <xf numFmtId="0" fontId="0" fillId="31" borderId="8" xfId="0" applyFill="1" applyBorder="1" applyAlignment="1">
      <alignment horizontal="left"/>
    </xf>
    <xf numFmtId="0" fontId="0" fillId="31" borderId="58" xfId="0" applyFill="1" applyBorder="1" applyAlignment="1">
      <alignment horizontal="left"/>
    </xf>
    <xf numFmtId="0" fontId="0" fillId="31" borderId="9" xfId="0" applyFill="1" applyBorder="1" applyAlignment="1">
      <alignment horizontal="left"/>
    </xf>
    <xf numFmtId="0" fontId="0" fillId="31" borderId="10" xfId="0" applyFill="1" applyBorder="1" applyAlignment="1">
      <alignment horizontal="left"/>
    </xf>
    <xf numFmtId="0" fontId="0" fillId="31" borderId="63" xfId="0" applyFill="1" applyBorder="1" applyAlignment="1">
      <alignment horizontal="left"/>
    </xf>
    <xf numFmtId="0" fontId="0" fillId="31" borderId="11" xfId="0" applyFill="1" applyBorder="1" applyAlignment="1">
      <alignment horizontal="left"/>
    </xf>
    <xf numFmtId="0" fontId="0" fillId="31" borderId="12" xfId="0" applyFill="1" applyBorder="1" applyAlignment="1">
      <alignment horizontal="left"/>
    </xf>
    <xf numFmtId="0" fontId="7" fillId="49" borderId="75" xfId="0" applyFont="1" applyFill="1" applyBorder="1" applyAlignment="1">
      <alignment horizontal="left" wrapText="1"/>
    </xf>
    <xf numFmtId="0" fontId="7" fillId="49" borderId="61" xfId="0" applyFont="1" applyFill="1" applyBorder="1" applyAlignment="1">
      <alignment horizontal="left" wrapText="1"/>
    </xf>
    <xf numFmtId="0" fontId="7" fillId="31" borderId="72" xfId="0" applyFont="1" applyFill="1" applyBorder="1" applyAlignment="1">
      <alignment horizontal="center" vertical="center" wrapText="1"/>
    </xf>
    <xf numFmtId="0" fontId="7" fillId="31" borderId="74" xfId="0" applyFont="1" applyFill="1" applyBorder="1" applyAlignment="1">
      <alignment horizontal="center" vertical="center" wrapText="1"/>
    </xf>
    <xf numFmtId="0" fontId="0" fillId="48" borderId="72" xfId="47" applyNumberFormat="1" applyFont="1" applyFill="1" applyBorder="1" applyAlignment="1">
      <alignment horizontal="center" vertical="center" wrapText="1"/>
    </xf>
    <xf numFmtId="0" fontId="0" fillId="48" borderId="74" xfId="47" applyNumberFormat="1" applyFont="1" applyFill="1" applyBorder="1" applyAlignment="1">
      <alignment horizontal="center" vertical="center" wrapText="1"/>
    </xf>
    <xf numFmtId="0" fontId="7" fillId="47" borderId="49" xfId="0" applyFont="1" applyFill="1" applyBorder="1" applyAlignment="1">
      <alignment horizontal="center" vertical="center" wrapText="1"/>
    </xf>
    <xf numFmtId="0" fontId="7" fillId="47" borderId="51" xfId="0" applyFont="1" applyFill="1" applyBorder="1" applyAlignment="1">
      <alignment horizontal="center" vertical="center" wrapText="1"/>
    </xf>
    <xf numFmtId="0" fontId="0" fillId="49" borderId="14" xfId="0" applyFill="1" applyBorder="1" applyAlignment="1">
      <alignment horizontal="center"/>
    </xf>
    <xf numFmtId="0" fontId="0" fillId="49" borderId="15" xfId="0" applyFill="1" applyBorder="1" applyAlignment="1">
      <alignment horizontal="center"/>
    </xf>
    <xf numFmtId="0" fontId="0" fillId="49" borderId="16" xfId="0" applyFill="1" applyBorder="1" applyAlignment="1">
      <alignment horizontal="center"/>
    </xf>
    <xf numFmtId="0" fontId="0" fillId="49" borderId="5" xfId="0" applyFill="1" applyBorder="1" applyAlignment="1">
      <alignment horizontal="left" wrapText="1"/>
    </xf>
    <xf numFmtId="0" fontId="0" fillId="49" borderId="6" xfId="0" applyFill="1" applyBorder="1" applyAlignment="1">
      <alignment horizontal="left" wrapText="1"/>
    </xf>
    <xf numFmtId="0" fontId="0" fillId="49" borderId="7" xfId="0" applyFill="1" applyBorder="1" applyAlignment="1">
      <alignment horizontal="left" wrapText="1"/>
    </xf>
    <xf numFmtId="0" fontId="0" fillId="49" borderId="8" xfId="0" applyFill="1" applyBorder="1" applyAlignment="1">
      <alignment horizontal="left" wrapText="1"/>
    </xf>
    <xf numFmtId="0" fontId="0" fillId="49" borderId="4" xfId="0" applyFill="1" applyBorder="1" applyAlignment="1">
      <alignment horizontal="left" wrapText="1"/>
    </xf>
    <xf numFmtId="0" fontId="0" fillId="49" borderId="9" xfId="0" applyFill="1" applyBorder="1" applyAlignment="1">
      <alignment horizontal="left" wrapText="1"/>
    </xf>
    <xf numFmtId="0" fontId="0" fillId="49" borderId="10" xfId="0" applyFill="1" applyBorder="1" applyAlignment="1">
      <alignment horizontal="left" wrapText="1"/>
    </xf>
    <xf numFmtId="0" fontId="0" fillId="49" borderId="11" xfId="0" applyFill="1" applyBorder="1" applyAlignment="1">
      <alignment horizontal="left" wrapText="1"/>
    </xf>
    <xf numFmtId="0" fontId="0" fillId="49" borderId="12" xfId="0" applyFill="1" applyBorder="1" applyAlignment="1">
      <alignment horizontal="left" wrapText="1"/>
    </xf>
    <xf numFmtId="0" fontId="7" fillId="49" borderId="72" xfId="0" applyFont="1" applyFill="1" applyBorder="1" applyAlignment="1">
      <alignment horizontal="center" vertical="center"/>
    </xf>
    <xf numFmtId="0" fontId="7" fillId="49" borderId="73" xfId="0" applyFont="1" applyFill="1" applyBorder="1" applyAlignment="1">
      <alignment horizontal="center" vertical="center"/>
    </xf>
    <xf numFmtId="0" fontId="7" fillId="49" borderId="74" xfId="0" applyFont="1" applyFill="1" applyBorder="1" applyAlignment="1">
      <alignment horizontal="center" vertical="center"/>
    </xf>
    <xf numFmtId="0" fontId="67" fillId="31" borderId="137" xfId="0" applyFont="1" applyFill="1" applyBorder="1" applyAlignment="1">
      <alignment horizontal="center" vertical="center" wrapText="1"/>
    </xf>
    <xf numFmtId="0" fontId="67" fillId="31" borderId="79" xfId="0" applyFont="1" applyFill="1" applyBorder="1" applyAlignment="1">
      <alignment horizontal="center" vertical="center" wrapText="1"/>
    </xf>
    <xf numFmtId="0" fontId="67" fillId="31" borderId="80" xfId="0" applyFont="1" applyFill="1" applyBorder="1" applyAlignment="1">
      <alignment horizontal="center" vertical="center" wrapText="1"/>
    </xf>
    <xf numFmtId="0" fontId="67" fillId="31" borderId="52" xfId="0" applyFont="1" applyFill="1" applyBorder="1" applyAlignment="1">
      <alignment horizontal="center" vertical="center" wrapText="1"/>
    </xf>
    <xf numFmtId="0" fontId="67" fillId="31" borderId="54" xfId="0" applyFont="1" applyFill="1" applyBorder="1" applyAlignment="1">
      <alignment horizontal="center" vertical="center" wrapText="1"/>
    </xf>
    <xf numFmtId="0" fontId="67" fillId="31" borderId="106" xfId="0" applyFont="1" applyFill="1" applyBorder="1" applyAlignment="1">
      <alignment horizontal="center" vertical="center" wrapText="1"/>
    </xf>
    <xf numFmtId="0" fontId="67" fillId="31" borderId="107" xfId="0" applyFont="1" applyFill="1" applyBorder="1" applyAlignment="1">
      <alignment horizontal="center" vertical="center" wrapText="1"/>
    </xf>
    <xf numFmtId="0" fontId="67" fillId="31" borderId="108" xfId="0" applyFont="1" applyFill="1" applyBorder="1" applyAlignment="1">
      <alignment horizontal="center" vertical="center" wrapText="1"/>
    </xf>
    <xf numFmtId="0" fontId="0" fillId="31" borderId="49" xfId="0" applyFill="1" applyBorder="1" applyAlignment="1">
      <alignment horizontal="left" wrapText="1"/>
    </xf>
    <xf numFmtId="0" fontId="0" fillId="31" borderId="50" xfId="0" applyFill="1" applyBorder="1" applyAlignment="1">
      <alignment horizontal="left" wrapText="1"/>
    </xf>
    <xf numFmtId="0" fontId="0" fillId="31" borderId="51" xfId="0" applyFill="1" applyBorder="1" applyAlignment="1">
      <alignment horizontal="left" wrapText="1"/>
    </xf>
    <xf numFmtId="0" fontId="0" fillId="31" borderId="52" xfId="0" applyFill="1" applyBorder="1" applyAlignment="1">
      <alignment horizontal="left" wrapText="1"/>
    </xf>
    <xf numFmtId="0" fontId="0" fillId="31" borderId="0" xfId="0" applyFill="1" applyAlignment="1">
      <alignment horizontal="left" wrapText="1"/>
    </xf>
    <xf numFmtId="0" fontId="0" fillId="31" borderId="53" xfId="0" applyFill="1" applyBorder="1" applyAlignment="1">
      <alignment horizontal="left" wrapText="1"/>
    </xf>
    <xf numFmtId="0" fontId="0" fillId="31" borderId="54" xfId="0" applyFill="1" applyBorder="1" applyAlignment="1">
      <alignment horizontal="left" wrapText="1"/>
    </xf>
    <xf numFmtId="0" fontId="0" fillId="31" borderId="55" xfId="0" applyFill="1" applyBorder="1" applyAlignment="1">
      <alignment horizontal="left" wrapText="1"/>
    </xf>
    <xf numFmtId="0" fontId="0" fillId="31" borderId="56" xfId="0" applyFill="1" applyBorder="1" applyAlignment="1">
      <alignment horizontal="left" wrapText="1"/>
    </xf>
    <xf numFmtId="0" fontId="67" fillId="31" borderId="109" xfId="0" applyFont="1" applyFill="1" applyBorder="1" applyAlignment="1">
      <alignment horizontal="center" vertical="center" wrapText="1"/>
    </xf>
    <xf numFmtId="0" fontId="0" fillId="31" borderId="52" xfId="0" applyFill="1" applyBorder="1" applyAlignment="1">
      <alignment horizontal="left" vertical="center" wrapText="1"/>
    </xf>
    <xf numFmtId="0" fontId="0" fillId="31" borderId="0" xfId="0" applyFill="1" applyAlignment="1">
      <alignment horizontal="left" vertical="center" wrapText="1"/>
    </xf>
    <xf numFmtId="0" fontId="0" fillId="31" borderId="53" xfId="0" applyFill="1" applyBorder="1" applyAlignment="1">
      <alignment horizontal="left" vertical="center" wrapText="1"/>
    </xf>
    <xf numFmtId="0" fontId="0" fillId="31" borderId="72" xfId="0" applyFill="1" applyBorder="1" applyAlignment="1">
      <alignment horizontal="left" vertical="center" wrapText="1"/>
    </xf>
    <xf numFmtId="0" fontId="0" fillId="31" borderId="73" xfId="0" applyFill="1" applyBorder="1" applyAlignment="1">
      <alignment horizontal="left" vertical="center" wrapText="1"/>
    </xf>
    <xf numFmtId="0" fontId="0" fillId="31" borderId="74" xfId="0" applyFill="1" applyBorder="1" applyAlignment="1">
      <alignment horizontal="left" vertical="center" wrapText="1"/>
    </xf>
    <xf numFmtId="0" fontId="0" fillId="31" borderId="78" xfId="0" applyFill="1" applyBorder="1" applyAlignment="1">
      <alignment horizontal="center" vertical="center" wrapText="1"/>
    </xf>
    <xf numFmtId="0" fontId="0" fillId="31" borderId="79" xfId="0" applyFill="1" applyBorder="1" applyAlignment="1">
      <alignment horizontal="center" vertical="center" wrapText="1"/>
    </xf>
    <xf numFmtId="0" fontId="0" fillId="31" borderId="80" xfId="0" applyFill="1" applyBorder="1" applyAlignment="1">
      <alignment horizontal="center" vertical="center" wrapText="1"/>
    </xf>
    <xf numFmtId="0" fontId="9" fillId="31" borderId="51" xfId="30" applyFill="1" applyBorder="1" applyAlignment="1">
      <alignment horizontal="center" vertical="center" wrapText="1"/>
    </xf>
    <xf numFmtId="0" fontId="9" fillId="31" borderId="53" xfId="30" applyFill="1" applyBorder="1" applyAlignment="1">
      <alignment horizontal="center" vertical="center" wrapText="1"/>
    </xf>
    <xf numFmtId="0" fontId="9" fillId="31" borderId="56" xfId="30" applyFill="1" applyBorder="1" applyAlignment="1">
      <alignment horizontal="center" vertical="center" wrapText="1"/>
    </xf>
    <xf numFmtId="0" fontId="103" fillId="0" borderId="72" xfId="0" applyFont="1" applyBorder="1" applyAlignment="1">
      <alignment horizontal="center" vertical="center" wrapText="1"/>
    </xf>
    <xf numFmtId="0" fontId="103" fillId="0" borderId="73" xfId="0" applyFont="1" applyBorder="1" applyAlignment="1">
      <alignment horizontal="center" vertical="center" wrapText="1"/>
    </xf>
    <xf numFmtId="0" fontId="103" fillId="0" borderId="74" xfId="0" applyFont="1" applyBorder="1" applyAlignment="1">
      <alignment horizontal="center" vertical="center" wrapText="1"/>
    </xf>
    <xf numFmtId="0" fontId="0" fillId="31" borderId="108" xfId="0" applyFill="1" applyBorder="1" applyAlignment="1">
      <alignment horizontal="center" vertical="center" wrapText="1"/>
    </xf>
    <xf numFmtId="0" fontId="0" fillId="31" borderId="106" xfId="0" applyFill="1" applyBorder="1" applyAlignment="1">
      <alignment horizontal="center" vertical="center" wrapText="1"/>
    </xf>
    <xf numFmtId="0" fontId="0" fillId="31" borderId="111" xfId="0" applyFill="1" applyBorder="1" applyAlignment="1">
      <alignment horizontal="center" vertical="center" wrapText="1"/>
    </xf>
    <xf numFmtId="0" fontId="0" fillId="31" borderId="105" xfId="0" applyFill="1" applyBorder="1" applyAlignment="1">
      <alignment horizontal="center" vertical="center" wrapText="1"/>
    </xf>
    <xf numFmtId="0" fontId="61" fillId="49" borderId="72" xfId="0" applyFont="1" applyFill="1" applyBorder="1" applyAlignment="1">
      <alignment horizontal="center" vertical="center"/>
    </xf>
    <xf numFmtId="0" fontId="61" fillId="49" borderId="73" xfId="0" applyFont="1" applyFill="1" applyBorder="1" applyAlignment="1">
      <alignment horizontal="center" vertical="center"/>
    </xf>
    <xf numFmtId="0" fontId="61" fillId="49" borderId="74" xfId="0" applyFont="1" applyFill="1" applyBorder="1" applyAlignment="1">
      <alignment horizontal="center" vertical="center"/>
    </xf>
    <xf numFmtId="0" fontId="7" fillId="49" borderId="78" xfId="0" applyFont="1" applyFill="1" applyBorder="1" applyAlignment="1">
      <alignment horizontal="center" vertical="center" wrapText="1"/>
    </xf>
    <xf numFmtId="0" fontId="7" fillId="49" borderId="80" xfId="0" applyFont="1" applyFill="1" applyBorder="1" applyAlignment="1">
      <alignment horizontal="center" vertical="center" wrapText="1"/>
    </xf>
    <xf numFmtId="0" fontId="7" fillId="49" borderId="78" xfId="0" applyFont="1" applyFill="1" applyBorder="1" applyAlignment="1">
      <alignment horizontal="center" vertical="center"/>
    </xf>
    <xf numFmtId="0" fontId="7" fillId="49" borderId="80" xfId="0" applyFont="1" applyFill="1" applyBorder="1" applyAlignment="1">
      <alignment horizontal="center" vertical="center"/>
    </xf>
    <xf numFmtId="0" fontId="0" fillId="31" borderId="72" xfId="0" applyFill="1" applyBorder="1" applyAlignment="1">
      <alignment horizontal="center" vertical="center" wrapText="1"/>
    </xf>
    <xf numFmtId="0" fontId="0" fillId="31" borderId="109" xfId="0" applyFill="1" applyBorder="1" applyAlignment="1">
      <alignment horizontal="center" vertical="center" wrapText="1"/>
    </xf>
    <xf numFmtId="0" fontId="0" fillId="31" borderId="107" xfId="0" applyFill="1" applyBorder="1" applyAlignment="1">
      <alignment horizontal="center" vertical="center" wrapText="1"/>
    </xf>
    <xf numFmtId="0" fontId="7" fillId="49" borderId="14" xfId="0" applyFont="1" applyFill="1" applyBorder="1" applyAlignment="1">
      <alignment horizontal="center"/>
    </xf>
    <xf numFmtId="0" fontId="7" fillId="49" borderId="15" xfId="0" applyFont="1" applyFill="1" applyBorder="1" applyAlignment="1">
      <alignment horizontal="center"/>
    </xf>
    <xf numFmtId="0" fontId="7" fillId="49" borderId="16" xfId="0" applyFont="1" applyFill="1" applyBorder="1" applyAlignment="1">
      <alignment horizontal="center"/>
    </xf>
    <xf numFmtId="0" fontId="106" fillId="47" borderId="49" xfId="0" applyFont="1" applyFill="1" applyBorder="1" applyAlignment="1">
      <alignment horizontal="center" vertical="center" wrapText="1"/>
    </xf>
    <xf numFmtId="0" fontId="106" fillId="47" borderId="50" xfId="0" applyFont="1" applyFill="1" applyBorder="1" applyAlignment="1">
      <alignment horizontal="center" vertical="center" wrapText="1"/>
    </xf>
    <xf numFmtId="177" fontId="0" fillId="49" borderId="49" xfId="47" applyNumberFormat="1" applyFont="1" applyFill="1" applyBorder="1" applyAlignment="1">
      <alignment horizontal="center" vertical="center"/>
    </xf>
    <xf numFmtId="177" fontId="0" fillId="49" borderId="52" xfId="47" applyNumberFormat="1" applyFont="1" applyFill="1" applyBorder="1" applyAlignment="1">
      <alignment horizontal="center" vertical="center"/>
    </xf>
    <xf numFmtId="177" fontId="0" fillId="49" borderId="54" xfId="47" applyNumberFormat="1" applyFont="1" applyFill="1" applyBorder="1" applyAlignment="1">
      <alignment horizontal="center" vertical="center"/>
    </xf>
    <xf numFmtId="0" fontId="0" fillId="31" borderId="111" xfId="0" applyFill="1" applyBorder="1" applyAlignment="1">
      <alignment horizontal="center" wrapText="1"/>
    </xf>
    <xf numFmtId="0" fontId="0" fillId="31" borderId="112" xfId="0" applyFill="1" applyBorder="1" applyAlignment="1">
      <alignment horizontal="center" wrapText="1"/>
    </xf>
    <xf numFmtId="0" fontId="0" fillId="31" borderId="102" xfId="0" applyFill="1" applyBorder="1" applyAlignment="1">
      <alignment horizontal="center" wrapText="1"/>
    </xf>
    <xf numFmtId="0" fontId="0" fillId="31" borderId="108" xfId="0" applyFill="1" applyBorder="1" applyAlignment="1">
      <alignment horizontal="center" wrapText="1"/>
    </xf>
    <xf numFmtId="0" fontId="0" fillId="31" borderId="62" xfId="0" applyFill="1" applyBorder="1" applyAlignment="1">
      <alignment horizontal="center" wrapText="1"/>
    </xf>
    <xf numFmtId="0" fontId="0" fillId="31" borderId="103" xfId="0" applyFill="1" applyBorder="1" applyAlignment="1">
      <alignment horizontal="center" wrapText="1"/>
    </xf>
    <xf numFmtId="0" fontId="0" fillId="31" borderId="109" xfId="0" applyFill="1" applyBorder="1" applyAlignment="1">
      <alignment horizontal="center" wrapText="1"/>
    </xf>
    <xf numFmtId="0" fontId="0" fillId="31" borderId="110" xfId="0" applyFill="1" applyBorder="1" applyAlignment="1">
      <alignment horizontal="center" wrapText="1"/>
    </xf>
    <xf numFmtId="0" fontId="0" fillId="31" borderId="104" xfId="0" applyFill="1" applyBorder="1" applyAlignment="1">
      <alignment horizontal="center" wrapText="1"/>
    </xf>
    <xf numFmtId="0" fontId="9" fillId="0" borderId="78" xfId="30" applyFill="1" applyBorder="1" applyAlignment="1">
      <alignment horizontal="center" vertical="center" wrapText="1"/>
    </xf>
    <xf numFmtId="0" fontId="9" fillId="0" borderId="80" xfId="30" applyFill="1" applyBorder="1" applyAlignment="1">
      <alignment horizontal="center" vertical="center" wrapText="1"/>
    </xf>
    <xf numFmtId="0" fontId="105" fillId="0" borderId="4" xfId="30" applyFont="1" applyBorder="1" applyAlignment="1">
      <alignment horizontal="center" wrapText="1"/>
    </xf>
    <xf numFmtId="0" fontId="0" fillId="50" borderId="111" xfId="0" applyFill="1" applyBorder="1" applyAlignment="1">
      <alignment horizontal="center" vertical="center" wrapText="1"/>
    </xf>
    <xf numFmtId="0" fontId="0" fillId="50" borderId="109" xfId="0" applyFill="1" applyBorder="1" applyAlignment="1">
      <alignment horizontal="center" vertical="center" wrapText="1"/>
    </xf>
    <xf numFmtId="0" fontId="105" fillId="0" borderId="54" xfId="30" applyFont="1" applyBorder="1" applyAlignment="1">
      <alignment horizontal="center" vertical="center" wrapText="1"/>
    </xf>
    <xf numFmtId="0" fontId="105" fillId="0" borderId="55" xfId="30" applyFont="1" applyBorder="1" applyAlignment="1">
      <alignment horizontal="center" vertical="center" wrapText="1"/>
    </xf>
    <xf numFmtId="0" fontId="0" fillId="47" borderId="6" xfId="0" applyFill="1" applyBorder="1" applyAlignment="1">
      <alignment horizontal="center"/>
    </xf>
    <xf numFmtId="0" fontId="0" fillId="47" borderId="11" xfId="0" applyFill="1" applyBorder="1" applyAlignment="1">
      <alignment horizontal="center"/>
    </xf>
    <xf numFmtId="0" fontId="0" fillId="49" borderId="49" xfId="0" applyFill="1" applyBorder="1" applyAlignment="1">
      <alignment horizontal="center" vertical="center"/>
    </xf>
    <xf numFmtId="0" fontId="0" fillId="49" borderId="52" xfId="0" applyFill="1" applyBorder="1" applyAlignment="1">
      <alignment horizontal="center" vertical="center"/>
    </xf>
    <xf numFmtId="0" fontId="0" fillId="49" borderId="54" xfId="0" applyFill="1" applyBorder="1" applyAlignment="1">
      <alignment horizontal="center" vertical="center"/>
    </xf>
    <xf numFmtId="0" fontId="0" fillId="0" borderId="0" xfId="0" applyAlignment="1">
      <alignment horizontal="center"/>
    </xf>
    <xf numFmtId="0" fontId="0" fillId="49" borderId="105" xfId="0" applyFill="1" applyBorder="1" applyAlignment="1">
      <alignment horizontal="center" vertical="center" wrapText="1"/>
    </xf>
    <xf numFmtId="0" fontId="0" fillId="49" borderId="107" xfId="0" applyFill="1" applyBorder="1" applyAlignment="1">
      <alignment horizontal="center" vertical="center" wrapText="1"/>
    </xf>
    <xf numFmtId="0" fontId="0" fillId="47" borderId="5" xfId="0" applyFill="1" applyBorder="1" applyAlignment="1">
      <alignment horizontal="center"/>
    </xf>
    <xf numFmtId="0" fontId="0" fillId="47" borderId="10" xfId="0" applyFill="1" applyBorder="1" applyAlignment="1">
      <alignment horizontal="center"/>
    </xf>
    <xf numFmtId="0" fontId="0" fillId="47" borderId="7" xfId="0" applyFill="1" applyBorder="1" applyAlignment="1">
      <alignment horizontal="center"/>
    </xf>
    <xf numFmtId="0" fontId="0" fillId="47" borderId="12" xfId="0" applyFill="1" applyBorder="1" applyAlignment="1">
      <alignment horizontal="center"/>
    </xf>
    <xf numFmtId="0" fontId="0" fillId="47" borderId="81" xfId="0" applyFill="1" applyBorder="1" applyAlignment="1">
      <alignment horizontal="center"/>
    </xf>
    <xf numFmtId="0" fontId="0" fillId="47" borderId="68" xfId="0" applyFill="1" applyBorder="1" applyAlignment="1">
      <alignment horizontal="center"/>
    </xf>
    <xf numFmtId="0" fontId="0" fillId="49" borderId="5" xfId="0" applyFill="1" applyBorder="1" applyAlignment="1">
      <alignment horizontal="center" vertical="center" wrapText="1"/>
    </xf>
    <xf numFmtId="0" fontId="0" fillId="49" borderId="6" xfId="0" applyFill="1" applyBorder="1" applyAlignment="1">
      <alignment horizontal="center" vertical="center" wrapText="1"/>
    </xf>
    <xf numFmtId="0" fontId="0" fillId="49" borderId="7" xfId="0" applyFill="1" applyBorder="1" applyAlignment="1">
      <alignment horizontal="center" vertical="center" wrapText="1"/>
    </xf>
    <xf numFmtId="0" fontId="9" fillId="31" borderId="10" xfId="30" applyFill="1" applyBorder="1" applyAlignment="1">
      <alignment horizontal="center" vertical="center" wrapText="1"/>
    </xf>
    <xf numFmtId="0" fontId="0" fillId="31" borderId="11" xfId="0" applyFill="1" applyBorder="1" applyAlignment="1">
      <alignment horizontal="center" vertical="center" wrapText="1"/>
    </xf>
    <xf numFmtId="0" fontId="0" fillId="31" borderId="12" xfId="0" applyFill="1" applyBorder="1" applyAlignment="1">
      <alignment horizontal="center" vertical="center" wrapText="1"/>
    </xf>
    <xf numFmtId="0" fontId="105" fillId="0" borderId="72" xfId="30" applyFont="1" applyBorder="1" applyAlignment="1">
      <alignment horizontal="center" vertical="center" wrapText="1"/>
    </xf>
    <xf numFmtId="0" fontId="105" fillId="0" borderId="73" xfId="30" applyFont="1" applyBorder="1" applyAlignment="1">
      <alignment horizontal="center" vertical="center"/>
    </xf>
    <xf numFmtId="0" fontId="105" fillId="0" borderId="74" xfId="30" applyFont="1" applyBorder="1" applyAlignment="1">
      <alignment horizontal="center" vertical="center"/>
    </xf>
    <xf numFmtId="0" fontId="7" fillId="47" borderId="72" xfId="0" applyFont="1" applyFill="1" applyBorder="1" applyAlignment="1">
      <alignment horizontal="center" vertical="center" wrapText="1"/>
    </xf>
    <xf numFmtId="0" fontId="7" fillId="47" borderId="74" xfId="0" applyFont="1" applyFill="1" applyBorder="1" applyAlignment="1">
      <alignment horizontal="center" vertical="center" wrapText="1"/>
    </xf>
    <xf numFmtId="0" fontId="0" fillId="31" borderId="49" xfId="0" applyFill="1" applyBorder="1" applyAlignment="1">
      <alignment vertical="center" wrapText="1"/>
    </xf>
    <xf numFmtId="0" fontId="0" fillId="31" borderId="51" xfId="0" applyFill="1" applyBorder="1" applyAlignment="1">
      <alignment vertical="center" wrapText="1"/>
    </xf>
    <xf numFmtId="0" fontId="0" fillId="31" borderId="54" xfId="0" applyFill="1" applyBorder="1" applyAlignment="1">
      <alignment vertical="center" wrapText="1"/>
    </xf>
    <xf numFmtId="0" fontId="0" fillId="31" borderId="56" xfId="0" applyFill="1" applyBorder="1" applyAlignment="1">
      <alignment vertical="center" wrapText="1"/>
    </xf>
    <xf numFmtId="0" fontId="7" fillId="49" borderId="5" xfId="0" applyFont="1" applyFill="1" applyBorder="1" applyAlignment="1">
      <alignment horizontal="center" wrapText="1"/>
    </xf>
    <xf numFmtId="0" fontId="7" fillId="49" borderId="6" xfId="0" applyFont="1" applyFill="1" applyBorder="1" applyAlignment="1">
      <alignment horizontal="center" wrapText="1"/>
    </xf>
    <xf numFmtId="0" fontId="7" fillId="49" borderId="7" xfId="0" applyFont="1" applyFill="1" applyBorder="1" applyAlignment="1">
      <alignment horizontal="center" wrapText="1"/>
    </xf>
    <xf numFmtId="0" fontId="7" fillId="49" borderId="78" xfId="0" applyFont="1" applyFill="1" applyBorder="1" applyAlignment="1">
      <alignment horizontal="left" vertical="center" wrapText="1"/>
    </xf>
    <xf numFmtId="0" fontId="7" fillId="49" borderId="79" xfId="0" applyFont="1" applyFill="1" applyBorder="1" applyAlignment="1">
      <alignment horizontal="left" vertical="center" wrapText="1"/>
    </xf>
    <xf numFmtId="0" fontId="7" fillId="49" borderId="80" xfId="0" applyFont="1" applyFill="1" applyBorder="1" applyAlignment="1">
      <alignment horizontal="left" vertical="center" wrapText="1"/>
    </xf>
    <xf numFmtId="0" fontId="105" fillId="0" borderId="72" xfId="30" applyFont="1" applyBorder="1" applyAlignment="1">
      <alignment horizontal="center" wrapText="1"/>
    </xf>
    <xf numFmtId="0" fontId="105" fillId="0" borderId="73" xfId="30" applyFont="1" applyBorder="1" applyAlignment="1">
      <alignment horizontal="center" wrapText="1"/>
    </xf>
    <xf numFmtId="0" fontId="105" fillId="0" borderId="74" xfId="30" applyFont="1" applyBorder="1" applyAlignment="1">
      <alignment horizontal="center" wrapText="1"/>
    </xf>
    <xf numFmtId="0" fontId="7" fillId="31" borderId="5" xfId="0" applyFont="1" applyFill="1" applyBorder="1" applyAlignment="1">
      <alignment horizontal="center" vertical="center"/>
    </xf>
    <xf numFmtId="0" fontId="7" fillId="31" borderId="6" xfId="0" applyFont="1" applyFill="1" applyBorder="1" applyAlignment="1">
      <alignment horizontal="center" vertical="center"/>
    </xf>
    <xf numFmtId="0" fontId="7" fillId="31" borderId="7" xfId="0" applyFont="1" applyFill="1" applyBorder="1" applyAlignment="1">
      <alignment horizontal="center" vertical="center"/>
    </xf>
    <xf numFmtId="43" fontId="0" fillId="31" borderId="11" xfId="47" applyFont="1" applyFill="1" applyBorder="1" applyAlignment="1">
      <alignment horizontal="center" vertical="center" wrapText="1"/>
    </xf>
    <xf numFmtId="0" fontId="7" fillId="47" borderId="73" xfId="0" applyFont="1" applyFill="1" applyBorder="1" applyAlignment="1">
      <alignment horizontal="center" vertical="center" wrapText="1"/>
    </xf>
    <xf numFmtId="0" fontId="105" fillId="0" borderId="14" xfId="30" applyFont="1" applyBorder="1" applyAlignment="1">
      <alignment horizontal="center" wrapText="1"/>
    </xf>
    <xf numFmtId="0" fontId="105" fillId="0" borderId="15" xfId="30" applyFont="1" applyBorder="1" applyAlignment="1">
      <alignment horizontal="center" wrapText="1"/>
    </xf>
    <xf numFmtId="0" fontId="105" fillId="0" borderId="16" xfId="30" applyFont="1" applyBorder="1" applyAlignment="1">
      <alignment horizontal="center" wrapText="1"/>
    </xf>
    <xf numFmtId="0" fontId="74" fillId="47" borderId="49" xfId="0" applyFont="1" applyFill="1" applyBorder="1" applyAlignment="1">
      <alignment horizontal="left" vertical="center" wrapText="1"/>
    </xf>
    <xf numFmtId="0" fontId="74" fillId="47" borderId="50" xfId="0" applyFont="1" applyFill="1" applyBorder="1" applyAlignment="1">
      <alignment horizontal="left" vertical="center" wrapText="1"/>
    </xf>
    <xf numFmtId="0" fontId="74" fillId="47" borderId="51" xfId="0" applyFont="1" applyFill="1" applyBorder="1" applyAlignment="1">
      <alignment horizontal="left" vertical="center" wrapText="1"/>
    </xf>
    <xf numFmtId="0" fontId="74" fillId="47" borderId="52" xfId="0" applyFont="1" applyFill="1" applyBorder="1" applyAlignment="1">
      <alignment horizontal="left" vertical="center" wrapText="1"/>
    </xf>
    <xf numFmtId="0" fontId="74" fillId="47" borderId="0" xfId="0" applyFont="1" applyFill="1" applyAlignment="1">
      <alignment horizontal="left" vertical="center" wrapText="1"/>
    </xf>
    <xf numFmtId="0" fontId="74" fillId="47" borderId="53" xfId="0" applyFont="1" applyFill="1" applyBorder="1" applyAlignment="1">
      <alignment horizontal="left" vertical="center" wrapText="1"/>
    </xf>
    <xf numFmtId="0" fontId="74" fillId="47" borderId="54" xfId="0" applyFont="1" applyFill="1" applyBorder="1" applyAlignment="1">
      <alignment horizontal="left" vertical="center" wrapText="1"/>
    </xf>
    <xf numFmtId="0" fontId="74" fillId="47" borderId="55" xfId="0" applyFont="1" applyFill="1" applyBorder="1" applyAlignment="1">
      <alignment horizontal="left" vertical="center" wrapText="1"/>
    </xf>
    <xf numFmtId="0" fontId="74" fillId="47" borderId="56" xfId="0" applyFont="1" applyFill="1" applyBorder="1" applyAlignment="1">
      <alignment horizontal="left" vertical="center" wrapText="1"/>
    </xf>
    <xf numFmtId="0" fontId="61" fillId="49" borderId="14" xfId="0" applyFont="1" applyFill="1" applyBorder="1" applyAlignment="1">
      <alignment horizontal="center"/>
    </xf>
    <xf numFmtId="0" fontId="61" fillId="49" borderId="15" xfId="0" applyFont="1" applyFill="1" applyBorder="1" applyAlignment="1">
      <alignment horizontal="center"/>
    </xf>
    <xf numFmtId="0" fontId="61" fillId="49" borderId="16" xfId="0" applyFont="1" applyFill="1" applyBorder="1" applyAlignment="1">
      <alignment horizontal="center"/>
    </xf>
    <xf numFmtId="0" fontId="0" fillId="31" borderId="72" xfId="0" applyFill="1" applyBorder="1" applyAlignment="1">
      <alignment horizontal="center" vertical="center"/>
    </xf>
    <xf numFmtId="0" fontId="0" fillId="31" borderId="73" xfId="0" applyFill="1" applyBorder="1" applyAlignment="1">
      <alignment horizontal="center" vertical="center"/>
    </xf>
    <xf numFmtId="0" fontId="0" fillId="31" borderId="74" xfId="0" applyFill="1" applyBorder="1" applyAlignment="1">
      <alignment horizontal="center" vertical="center"/>
    </xf>
    <xf numFmtId="0" fontId="0" fillId="31" borderId="73" xfId="0" applyFill="1" applyBorder="1" applyAlignment="1">
      <alignment horizontal="center" vertical="center" wrapText="1"/>
    </xf>
    <xf numFmtId="0" fontId="0" fillId="31" borderId="74" xfId="0" applyFill="1" applyBorder="1" applyAlignment="1">
      <alignment horizontal="center" vertical="center" wrapText="1"/>
    </xf>
    <xf numFmtId="0" fontId="7" fillId="49" borderId="72" xfId="0" applyFont="1" applyFill="1" applyBorder="1" applyAlignment="1">
      <alignment horizontal="center" vertical="center" wrapText="1"/>
    </xf>
    <xf numFmtId="0" fontId="7" fillId="49" borderId="74" xfId="0" applyFont="1" applyFill="1" applyBorder="1" applyAlignment="1">
      <alignment horizontal="center" vertical="center" wrapText="1"/>
    </xf>
    <xf numFmtId="177" fontId="0" fillId="49" borderId="78" xfId="47" applyNumberFormat="1" applyFont="1" applyFill="1" applyBorder="1" applyAlignment="1">
      <alignment horizontal="center" vertical="center"/>
    </xf>
    <xf numFmtId="177" fontId="0" fillId="49" borderId="79" xfId="47" applyNumberFormat="1" applyFont="1" applyFill="1" applyBorder="1" applyAlignment="1">
      <alignment horizontal="center" vertical="center"/>
    </xf>
    <xf numFmtId="177" fontId="0" fillId="49" borderId="80" xfId="47" applyNumberFormat="1" applyFont="1" applyFill="1" applyBorder="1" applyAlignment="1">
      <alignment horizontal="center" vertical="center"/>
    </xf>
    <xf numFmtId="0" fontId="7" fillId="31" borderId="49" xfId="0" applyFont="1" applyFill="1" applyBorder="1" applyAlignment="1">
      <alignment horizontal="left" vertical="center" wrapText="1"/>
    </xf>
    <xf numFmtId="0" fontId="7" fillId="31" borderId="50" xfId="0" applyFont="1" applyFill="1" applyBorder="1" applyAlignment="1">
      <alignment horizontal="left" vertical="center" wrapText="1"/>
    </xf>
    <xf numFmtId="0" fontId="7" fillId="31" borderId="51" xfId="0" applyFont="1" applyFill="1" applyBorder="1" applyAlignment="1">
      <alignment horizontal="left" vertical="center" wrapText="1"/>
    </xf>
    <xf numFmtId="0" fontId="7" fillId="31" borderId="54" xfId="0" applyFont="1" applyFill="1" applyBorder="1" applyAlignment="1">
      <alignment horizontal="left" vertical="center" wrapText="1"/>
    </xf>
    <xf numFmtId="0" fontId="7" fillId="31" borderId="55" xfId="0" applyFont="1" applyFill="1" applyBorder="1" applyAlignment="1">
      <alignment horizontal="left" vertical="center" wrapText="1"/>
    </xf>
    <xf numFmtId="0" fontId="7" fillId="31" borderId="56" xfId="0" applyFont="1" applyFill="1" applyBorder="1" applyAlignment="1">
      <alignment horizontal="left" vertical="center" wrapText="1"/>
    </xf>
    <xf numFmtId="0" fontId="7" fillId="49" borderId="49" xfId="0" applyFont="1" applyFill="1" applyBorder="1" applyAlignment="1">
      <alignment horizontal="center" wrapText="1"/>
    </xf>
    <xf numFmtId="0" fontId="7" fillId="49" borderId="51" xfId="0" applyFont="1" applyFill="1" applyBorder="1" applyAlignment="1">
      <alignment horizontal="center" wrapText="1"/>
    </xf>
    <xf numFmtId="0" fontId="19" fillId="31" borderId="49" xfId="0" applyFont="1" applyFill="1" applyBorder="1" applyAlignment="1">
      <alignment horizontal="left" vertical="top" wrapText="1"/>
    </xf>
    <xf numFmtId="0" fontId="19" fillId="31" borderId="50" xfId="0" applyFont="1" applyFill="1" applyBorder="1" applyAlignment="1">
      <alignment horizontal="left" vertical="top" wrapText="1"/>
    </xf>
    <xf numFmtId="0" fontId="19" fillId="31" borderId="51" xfId="0" applyFont="1" applyFill="1" applyBorder="1" applyAlignment="1">
      <alignment horizontal="left" vertical="top" wrapText="1"/>
    </xf>
    <xf numFmtId="0" fontId="19" fillId="31" borderId="52" xfId="0" applyFont="1" applyFill="1" applyBorder="1" applyAlignment="1">
      <alignment horizontal="left" vertical="top" wrapText="1"/>
    </xf>
    <xf numFmtId="0" fontId="19" fillId="31" borderId="0" xfId="0" applyFont="1" applyFill="1" applyAlignment="1">
      <alignment horizontal="left" vertical="top" wrapText="1"/>
    </xf>
    <xf numFmtId="0" fontId="19" fillId="31" borderId="53" xfId="0" applyFont="1" applyFill="1" applyBorder="1" applyAlignment="1">
      <alignment horizontal="left" vertical="top" wrapText="1"/>
    </xf>
    <xf numFmtId="0" fontId="19" fillId="31" borderId="54" xfId="0" applyFont="1" applyFill="1" applyBorder="1" applyAlignment="1">
      <alignment horizontal="left" vertical="top" wrapText="1"/>
    </xf>
    <xf numFmtId="0" fontId="19" fillId="31" borderId="55" xfId="0" applyFont="1" applyFill="1" applyBorder="1" applyAlignment="1">
      <alignment horizontal="left" vertical="top" wrapText="1"/>
    </xf>
    <xf numFmtId="0" fontId="19" fillId="31" borderId="56" xfId="0" applyFont="1" applyFill="1" applyBorder="1" applyAlignment="1">
      <alignment horizontal="left" vertical="top" wrapText="1"/>
    </xf>
    <xf numFmtId="0" fontId="52" fillId="42" borderId="30" xfId="0" applyFont="1" applyFill="1" applyBorder="1" applyAlignment="1">
      <alignment vertical="center"/>
    </xf>
    <xf numFmtId="0" fontId="52" fillId="42" borderId="87" xfId="0" applyFont="1" applyFill="1" applyBorder="1" applyAlignment="1">
      <alignment vertical="center"/>
    </xf>
    <xf numFmtId="0" fontId="52" fillId="42" borderId="88" xfId="0" applyFont="1" applyFill="1" applyBorder="1" applyAlignment="1">
      <alignment vertical="center"/>
    </xf>
    <xf numFmtId="0" fontId="52" fillId="42" borderId="89" xfId="0" applyFont="1" applyFill="1" applyBorder="1" applyAlignment="1">
      <alignment vertical="center"/>
    </xf>
    <xf numFmtId="0" fontId="52" fillId="31" borderId="95" xfId="0" applyFont="1" applyFill="1" applyBorder="1" applyAlignment="1">
      <alignment horizontal="left" vertical="center"/>
    </xf>
    <xf numFmtId="0" fontId="52" fillId="42" borderId="30" xfId="0" applyFont="1" applyFill="1" applyBorder="1" applyAlignment="1">
      <alignment vertical="center" wrapText="1"/>
    </xf>
    <xf numFmtId="0" fontId="52" fillId="42" borderId="4" xfId="0" applyFont="1" applyFill="1" applyBorder="1" applyAlignment="1">
      <alignment vertical="center"/>
    </xf>
    <xf numFmtId="0" fontId="52" fillId="42" borderId="124" xfId="0" applyFont="1" applyFill="1" applyBorder="1" applyAlignment="1">
      <alignment vertical="center"/>
    </xf>
    <xf numFmtId="0" fontId="52" fillId="42" borderId="30" xfId="31" applyFont="1" applyFill="1" applyBorder="1" applyAlignment="1">
      <alignment vertical="center"/>
    </xf>
    <xf numFmtId="0" fontId="52" fillId="0" borderId="30" xfId="0" applyFont="1" applyBorder="1" applyAlignment="1">
      <alignment horizontal="center"/>
    </xf>
    <xf numFmtId="0" fontId="52" fillId="0" borderId="117" xfId="0" applyFont="1" applyBorder="1" applyAlignment="1">
      <alignment horizontal="center"/>
    </xf>
    <xf numFmtId="0" fontId="52" fillId="31" borderId="91" xfId="0" applyFont="1" applyFill="1" applyBorder="1" applyAlignment="1">
      <alignment horizontal="left" vertical="center"/>
    </xf>
    <xf numFmtId="0" fontId="52" fillId="0" borderId="4" xfId="0" applyFont="1" applyBorder="1" applyAlignment="1">
      <alignment horizontal="center"/>
    </xf>
    <xf numFmtId="0" fontId="52" fillId="42" borderId="87" xfId="0" applyFont="1" applyFill="1" applyBorder="1" applyAlignment="1">
      <alignment horizontal="center" vertical="center"/>
    </xf>
    <xf numFmtId="0" fontId="52" fillId="42" borderId="88" xfId="0" applyFont="1" applyFill="1" applyBorder="1" applyAlignment="1">
      <alignment horizontal="center" vertical="center"/>
    </xf>
    <xf numFmtId="0" fontId="52" fillId="42" borderId="89" xfId="0" applyFont="1" applyFill="1" applyBorder="1" applyAlignment="1">
      <alignment horizontal="center" vertical="center"/>
    </xf>
    <xf numFmtId="0" fontId="0" fillId="0" borderId="83" xfId="0" applyBorder="1" applyAlignment="1">
      <alignment horizontal="center" vertical="center"/>
    </xf>
    <xf numFmtId="0" fontId="52" fillId="42" borderId="87" xfId="0" applyFont="1" applyFill="1" applyBorder="1" applyAlignment="1">
      <alignment vertical="center" wrapText="1"/>
    </xf>
    <xf numFmtId="0" fontId="52" fillId="42" borderId="88" xfId="0" applyFont="1" applyFill="1" applyBorder="1" applyAlignment="1">
      <alignment vertical="center" wrapText="1"/>
    </xf>
    <xf numFmtId="0" fontId="52" fillId="42" borderId="89" xfId="0" applyFont="1" applyFill="1" applyBorder="1" applyAlignment="1">
      <alignment vertical="center" wrapText="1"/>
    </xf>
    <xf numFmtId="0" fontId="52" fillId="42" borderId="87" xfId="0" applyFont="1" applyFill="1" applyBorder="1" applyAlignment="1">
      <alignment horizontal="left" vertical="center" wrapText="1"/>
    </xf>
    <xf numFmtId="0" fontId="52" fillId="42" borderId="88" xfId="0" applyFont="1" applyFill="1" applyBorder="1" applyAlignment="1">
      <alignment horizontal="left" vertical="center" wrapText="1"/>
    </xf>
    <xf numFmtId="0" fontId="52" fillId="42" borderId="89" xfId="0" applyFont="1" applyFill="1" applyBorder="1" applyAlignment="1">
      <alignment horizontal="left" vertical="center" wrapText="1"/>
    </xf>
    <xf numFmtId="0" fontId="52" fillId="42" borderId="90" xfId="0" applyFont="1" applyFill="1" applyBorder="1" applyAlignment="1">
      <alignment vertical="center" wrapText="1"/>
    </xf>
    <xf numFmtId="0" fontId="52" fillId="42" borderId="94" xfId="0" applyFont="1" applyFill="1" applyBorder="1" applyAlignment="1">
      <alignment vertical="center" wrapText="1"/>
    </xf>
    <xf numFmtId="0" fontId="52" fillId="42" borderId="97" xfId="0" applyFont="1" applyFill="1" applyBorder="1" applyAlignment="1">
      <alignment vertical="center" wrapText="1"/>
    </xf>
    <xf numFmtId="0" fontId="52" fillId="0" borderId="91" xfId="0" applyFont="1" applyBorder="1" applyAlignment="1">
      <alignment horizontal="center" wrapText="1"/>
    </xf>
    <xf numFmtId="0" fontId="52" fillId="0" borderId="92" xfId="0" applyFont="1" applyBorder="1" applyAlignment="1">
      <alignment horizontal="center" wrapText="1"/>
    </xf>
    <xf numFmtId="0" fontId="52" fillId="0" borderId="114" xfId="0" applyFont="1" applyBorder="1" applyAlignment="1">
      <alignment horizontal="center" wrapText="1"/>
    </xf>
    <xf numFmtId="0" fontId="52" fillId="42" borderId="95" xfId="0" applyFont="1" applyFill="1" applyBorder="1" applyAlignment="1">
      <alignment horizontal="left" vertical="center" wrapText="1"/>
    </xf>
    <xf numFmtId="0" fontId="52" fillId="42" borderId="98" xfId="0" applyFont="1" applyFill="1" applyBorder="1" applyAlignment="1">
      <alignment horizontal="left" vertical="center" wrapText="1"/>
    </xf>
    <xf numFmtId="0" fontId="52" fillId="42" borderId="30" xfId="0" applyFont="1" applyFill="1" applyBorder="1" applyAlignment="1">
      <alignment horizontal="left" vertical="center" wrapText="1"/>
    </xf>
    <xf numFmtId="0" fontId="52" fillId="42" borderId="99" xfId="0" applyFont="1" applyFill="1" applyBorder="1" applyAlignment="1">
      <alignment horizontal="left" vertical="center" wrapText="1"/>
    </xf>
    <xf numFmtId="0" fontId="52" fillId="0" borderId="153" xfId="0" applyFont="1" applyBorder="1" applyAlignment="1">
      <alignment horizontal="center"/>
    </xf>
    <xf numFmtId="0" fontId="52" fillId="0" borderId="124" xfId="0" applyFont="1" applyBorder="1" applyAlignment="1">
      <alignment horizontal="center"/>
    </xf>
    <xf numFmtId="0" fontId="52" fillId="42" borderId="138" xfId="0" applyFont="1" applyFill="1" applyBorder="1" applyAlignment="1">
      <alignment vertical="center" wrapText="1"/>
    </xf>
    <xf numFmtId="0" fontId="27" fillId="41" borderId="42" xfId="31" applyFont="1" applyFill="1" applyBorder="1" applyAlignment="1">
      <alignment horizontal="center" vertical="center" textRotation="90" wrapText="1"/>
    </xf>
    <xf numFmtId="0" fontId="27" fillId="41" borderId="48" xfId="31" applyFont="1" applyFill="1" applyBorder="1" applyAlignment="1">
      <alignment horizontal="center" vertical="center" textRotation="90" wrapText="1"/>
    </xf>
    <xf numFmtId="0" fontId="27" fillId="41" borderId="47" xfId="31" applyFont="1" applyFill="1" applyBorder="1" applyAlignment="1">
      <alignment horizontal="center" vertical="center" textRotation="90" wrapText="1"/>
    </xf>
    <xf numFmtId="0" fontId="39" fillId="0" borderId="0" xfId="31" applyFont="1" applyAlignment="1">
      <alignment horizontal="left"/>
    </xf>
    <xf numFmtId="0" fontId="37" fillId="0" borderId="0" xfId="31" applyFont="1"/>
    <xf numFmtId="0" fontId="31" fillId="41" borderId="44" xfId="31" applyFont="1" applyFill="1" applyBorder="1" applyAlignment="1">
      <alignment horizontal="left" wrapText="1"/>
    </xf>
    <xf numFmtId="0" fontId="31" fillId="41" borderId="45" xfId="31" applyFont="1" applyFill="1" applyBorder="1" applyAlignment="1">
      <alignment horizontal="left" wrapText="1"/>
    </xf>
    <xf numFmtId="0" fontId="31" fillId="41" borderId="46" xfId="31" applyFont="1" applyFill="1" applyBorder="1" applyAlignment="1">
      <alignment horizontal="left" wrapText="1"/>
    </xf>
    <xf numFmtId="0" fontId="40" fillId="41" borderId="0" xfId="31" applyFont="1" applyFill="1" applyAlignment="1">
      <alignment horizontal="center" vertical="center" wrapText="1"/>
    </xf>
    <xf numFmtId="0" fontId="0" fillId="0" borderId="0" xfId="0" applyAlignment="1">
      <alignment horizontal="left" wrapText="1"/>
    </xf>
    <xf numFmtId="0" fontId="87" fillId="0" borderId="78" xfId="0" applyFont="1" applyBorder="1" applyAlignment="1">
      <alignment vertical="center" wrapText="1"/>
    </xf>
    <xf numFmtId="0" fontId="87" fillId="0" borderId="80" xfId="0" applyFont="1" applyBorder="1" applyAlignment="1">
      <alignment vertical="center" wrapText="1"/>
    </xf>
    <xf numFmtId="0" fontId="0" fillId="0" borderId="4" xfId="0" applyBorder="1" applyAlignment="1">
      <alignment horizontal="center" wrapText="1"/>
    </xf>
    <xf numFmtId="0" fontId="83" fillId="0" borderId="0" xfId="0" applyFont="1" applyAlignment="1">
      <alignment horizontal="center" vertical="center" wrapText="1"/>
    </xf>
    <xf numFmtId="0" fontId="83" fillId="0" borderId="0" xfId="0" applyFont="1" applyAlignment="1">
      <alignment horizontal="center" wrapText="1"/>
    </xf>
    <xf numFmtId="0" fontId="0" fillId="0" borderId="75" xfId="0" applyBorder="1" applyAlignment="1">
      <alignment horizontal="center" wrapText="1"/>
    </xf>
    <xf numFmtId="0" fontId="0" fillId="0" borderId="112" xfId="0" applyBorder="1" applyAlignment="1">
      <alignment horizontal="center" wrapText="1"/>
    </xf>
    <xf numFmtId="0" fontId="0" fillId="0" borderId="102" xfId="0" applyBorder="1" applyAlignment="1">
      <alignment horizontal="center" wrapText="1"/>
    </xf>
    <xf numFmtId="0" fontId="0" fillId="0" borderId="70" xfId="0" applyBorder="1" applyAlignment="1">
      <alignment horizontal="center" wrapText="1"/>
    </xf>
    <xf numFmtId="0" fontId="0" fillId="0" borderId="110" xfId="0" applyBorder="1" applyAlignment="1">
      <alignment horizontal="center" wrapText="1"/>
    </xf>
    <xf numFmtId="0" fontId="0" fillId="0" borderId="104" xfId="0" applyBorder="1" applyAlignment="1">
      <alignment horizontal="center" wrapText="1"/>
    </xf>
    <xf numFmtId="0" fontId="9" fillId="0" borderId="0" xfId="30" applyBorder="1" applyAlignment="1">
      <alignment horizontal="center" wrapText="1"/>
    </xf>
    <xf numFmtId="0" fontId="76" fillId="31" borderId="139" xfId="52" applyFont="1" applyFill="1" applyBorder="1" applyAlignment="1" applyProtection="1">
      <alignment horizontal="center" wrapText="1"/>
      <protection locked="0"/>
    </xf>
    <xf numFmtId="0" fontId="76" fillId="31" borderId="0" xfId="52" applyFont="1" applyFill="1" applyAlignment="1" applyProtection="1">
      <alignment horizontal="center" wrapText="1"/>
      <protection locked="0"/>
    </xf>
    <xf numFmtId="0" fontId="76" fillId="31" borderId="83" xfId="52" applyFont="1" applyFill="1" applyBorder="1" applyAlignment="1" applyProtection="1">
      <alignment horizontal="center" wrapText="1"/>
      <protection locked="0"/>
    </xf>
    <xf numFmtId="0" fontId="89" fillId="31" borderId="57" xfId="0" applyFont="1" applyFill="1" applyBorder="1" applyAlignment="1">
      <alignment horizontal="center" vertical="top" wrapText="1"/>
    </xf>
    <xf numFmtId="0" fontId="89" fillId="31" borderId="62" xfId="0" applyFont="1" applyFill="1" applyBorder="1" applyAlignment="1">
      <alignment horizontal="center" vertical="top" wrapText="1"/>
    </xf>
    <xf numFmtId="0" fontId="89" fillId="31" borderId="58" xfId="0" applyFont="1" applyFill="1" applyBorder="1" applyAlignment="1">
      <alignment horizontal="center" vertical="top" wrapText="1"/>
    </xf>
    <xf numFmtId="0" fontId="27" fillId="41" borderId="42" xfId="0" applyFont="1" applyFill="1" applyBorder="1" applyAlignment="1">
      <alignment horizontal="center" vertical="center" textRotation="90" wrapText="1"/>
    </xf>
    <xf numFmtId="0" fontId="27" fillId="41" borderId="47" xfId="0" applyFont="1" applyFill="1" applyBorder="1" applyAlignment="1">
      <alignment horizontal="center" vertical="center" textRotation="90" wrapText="1"/>
    </xf>
    <xf numFmtId="0" fontId="27" fillId="41" borderId="48" xfId="0" applyFont="1" applyFill="1" applyBorder="1" applyAlignment="1">
      <alignment horizontal="center" vertical="center" textRotation="90" wrapText="1"/>
    </xf>
    <xf numFmtId="0" fontId="27" fillId="40" borderId="0" xfId="0" applyFont="1" applyFill="1" applyAlignment="1">
      <alignment horizontal="left" wrapText="1"/>
    </xf>
    <xf numFmtId="0" fontId="27" fillId="41" borderId="42" xfId="0" applyFont="1" applyFill="1" applyBorder="1" applyAlignment="1">
      <alignment horizontal="center" vertical="center" textRotation="90"/>
    </xf>
    <xf numFmtId="0" fontId="27" fillId="41" borderId="47" xfId="0" applyFont="1" applyFill="1" applyBorder="1" applyAlignment="1">
      <alignment horizontal="center" vertical="center" textRotation="90"/>
    </xf>
    <xf numFmtId="0" fontId="27" fillId="41" borderId="48" xfId="0" applyFont="1" applyFill="1" applyBorder="1" applyAlignment="1">
      <alignment horizontal="center" vertical="center" textRotation="90"/>
    </xf>
    <xf numFmtId="49" fontId="38" fillId="43" borderId="23" xfId="0" applyNumberFormat="1" applyFont="1" applyFill="1" applyBorder="1" applyAlignment="1">
      <alignment horizontal="left"/>
    </xf>
    <xf numFmtId="0" fontId="37" fillId="41" borderId="24" xfId="0" applyFont="1" applyFill="1" applyBorder="1"/>
    <xf numFmtId="0" fontId="27" fillId="41" borderId="44" xfId="0" applyFont="1" applyFill="1" applyBorder="1" applyAlignment="1">
      <alignment horizontal="left" wrapText="1"/>
    </xf>
    <xf numFmtId="0" fontId="27" fillId="41" borderId="45" xfId="0" applyFont="1" applyFill="1" applyBorder="1" applyAlignment="1">
      <alignment horizontal="left" wrapText="1"/>
    </xf>
    <xf numFmtId="0" fontId="27" fillId="41" borderId="46" xfId="0" applyFont="1" applyFill="1" applyBorder="1" applyAlignment="1">
      <alignment horizontal="left" wrapText="1"/>
    </xf>
    <xf numFmtId="0" fontId="29" fillId="0" borderId="0" xfId="0" applyFont="1" applyAlignment="1">
      <alignment horizontal="left" wrapText="1"/>
    </xf>
  </cellXfs>
  <cellStyles count="88">
    <cellStyle name="20% - Accent1" xfId="7" builtinId="30" customBuiltin="1"/>
    <cellStyle name="20% - Accent2" xfId="11" builtinId="34" customBuiltin="1"/>
    <cellStyle name="20% - Accent3" xfId="15" builtinId="38" customBuiltin="1"/>
    <cellStyle name="20% - Accent4" xfId="19" builtinId="42" customBuiltin="1"/>
    <cellStyle name="20% - Accent5" xfId="23" builtinId="46" customBuiltin="1"/>
    <cellStyle name="20% - Accent6" xfId="27" builtinId="50" customBuiltin="1"/>
    <cellStyle name="40% - Accent1" xfId="8" builtinId="31" customBuiltin="1"/>
    <cellStyle name="40% - Accent2" xfId="12" builtinId="35" customBuiltin="1"/>
    <cellStyle name="40% - Accent3" xfId="16" builtinId="39" customBuiltin="1"/>
    <cellStyle name="40% - Accent4" xfId="20" builtinId="43" customBuiltin="1"/>
    <cellStyle name="40% - Accent5" xfId="24" builtinId="47" customBuiltin="1"/>
    <cellStyle name="40% - Accent6" xfId="28" builtinId="51" customBuiltin="1"/>
    <cellStyle name="60% - Accent1" xfId="9" builtinId="32" customBuiltin="1"/>
    <cellStyle name="60% - Accent2" xfId="13" builtinId="36" customBuiltin="1"/>
    <cellStyle name="60% - Accent3" xfId="17" builtinId="40" customBuiltin="1"/>
    <cellStyle name="60% - Accent4" xfId="21" builtinId="44" customBuiltin="1"/>
    <cellStyle name="60% - Accent5" xfId="25" builtinId="48" customBuiltin="1"/>
    <cellStyle name="60% - Accent6" xfId="29" builtinId="52" customBuiltin="1"/>
    <cellStyle name="Accent1" xfId="6" builtinId="29" customBuiltin="1"/>
    <cellStyle name="Accent2" xfId="10" builtinId="33" customBuiltin="1"/>
    <cellStyle name="Accent3" xfId="14" builtinId="37" customBuiltin="1"/>
    <cellStyle name="Accent4" xfId="18" builtinId="41" customBuiltin="1"/>
    <cellStyle name="Accent5" xfId="22" builtinId="45" customBuiltin="1"/>
    <cellStyle name="Accent6" xfId="26" builtinId="49" customBuiltin="1"/>
    <cellStyle name="Bad" xfId="3" builtinId="27" customBuiltin="1"/>
    <cellStyle name="Body: normal cell" xfId="60" xr:uid="{29ED98EF-D64D-4434-B272-13BECB8285F9}"/>
    <cellStyle name="Calculation 2" xfId="33" xr:uid="{3F401E80-FB99-4A91-A59B-30EFAF8D184B}"/>
    <cellStyle name="Calculation 3" xfId="32" xr:uid="{222417E6-BA0F-4F91-A1EE-84A8154EDF4B}"/>
    <cellStyle name="Check Cell" xfId="5" builtinId="23" customBuiltin="1"/>
    <cellStyle name="Comma" xfId="47" builtinId="3"/>
    <cellStyle name="Comma 2" xfId="35" xr:uid="{CC528149-1ADA-43E2-9362-7AA855637EFA}"/>
    <cellStyle name="Comma 2 2" xfId="48" xr:uid="{C8B4FE8A-B4C3-42A3-8F85-47B78FD58B1E}"/>
    <cellStyle name="Comma 2 3" xfId="62" xr:uid="{A7A84BA4-A651-427C-A3DB-D6700F371E02}"/>
    <cellStyle name="Comma 2 4" xfId="83" xr:uid="{77454B45-372D-43C2-993F-D1E6B8BB798E}"/>
    <cellStyle name="Comma 2 5" xfId="84" xr:uid="{9FC70317-D235-42CF-A969-B3DBE3E76D83}"/>
    <cellStyle name="Comma 3" xfId="34" xr:uid="{33EEAC1A-DC0D-4068-B442-D08AE7104D09}"/>
    <cellStyle name="Comma 4" xfId="50" xr:uid="{F6FDE172-5D1C-4A16-ABA5-1264E7AA81B9}"/>
    <cellStyle name="Comma 5" xfId="61" xr:uid="{4A6784BF-7C36-442F-8487-A4B184E45E54}"/>
    <cellStyle name="Comma0" xfId="63" xr:uid="{E40AC123-01AF-48D1-BC2C-EE659D40C323}"/>
    <cellStyle name="Currency 2" xfId="64" xr:uid="{382C3A27-D0E2-4F3D-B03B-E628E96E7DC3}"/>
    <cellStyle name="Currency0" xfId="65" xr:uid="{7B55A709-AAA3-4093-BDFC-39574BC75CE1}"/>
    <cellStyle name="Euro" xfId="66" xr:uid="{41DA2CB3-1450-4F86-B55B-F96772268AD2}"/>
    <cellStyle name="Explanatory Text 2" xfId="36" xr:uid="{7C3FB023-9194-4CD8-B71A-343C7AC087BC}"/>
    <cellStyle name="Followed Hyperlink 2" xfId="37" xr:uid="{A4952139-85EE-49BE-B7B0-AE9078CE8F7D}"/>
    <cellStyle name="Formula Other" xfId="87" xr:uid="{42D4336E-D192-4C67-B1F9-31A594595BC0}"/>
    <cellStyle name="Good" xfId="2" builtinId="26" customBuiltin="1"/>
    <cellStyle name="Hyperlink" xfId="30" builtinId="8"/>
    <cellStyle name="Hyperlink 2" xfId="38" xr:uid="{E3F8CA68-3D2E-48CA-A3ED-D644ABCCAB9F}"/>
    <cellStyle name="Hyperlink 3" xfId="51" xr:uid="{9FCAAE5F-2241-4362-8D7B-627354562B3F}"/>
    <cellStyle name="Hyperlink 4" xfId="67" xr:uid="{7DFA8E60-F91B-454B-9576-8AE627B41662}"/>
    <cellStyle name="Input 2" xfId="39" xr:uid="{0C9CAB0F-1C17-4F18-BB7C-43E5A35E16F5}"/>
    <cellStyle name="Input data" xfId="40" xr:uid="{8D3952EE-0A19-4EC7-884A-F8CAFC54AA38}"/>
    <cellStyle name="Linked Cell 2" xfId="41" xr:uid="{205DCC9C-81C0-4BCE-AF93-B4611733D344}"/>
    <cellStyle name="Milliers [0]_Annex_comb_guideline_version4-2" xfId="68" xr:uid="{42622CBE-F664-4FFC-AF0C-149364876942}"/>
    <cellStyle name="Milliers_Annex_comb_guideline_version4-2" xfId="69" xr:uid="{E376BF99-9465-4AF6-9D13-7C6D5733B864}"/>
    <cellStyle name="Monétaire [0]_Annex comb guideline 4-7" xfId="70" xr:uid="{DA3FBDA1-4CCF-4465-8FDB-72E69DD32047}"/>
    <cellStyle name="Monétaire_Annex_comb_guideline_version4-2" xfId="71" xr:uid="{F24BDDC7-B9BA-4BA2-8EB8-782876B506BB}"/>
    <cellStyle name="Neutral" xfId="4" builtinId="28" customBuiltin="1"/>
    <cellStyle name="Normal" xfId="0" builtinId="0"/>
    <cellStyle name="Normal 10 3" xfId="55" xr:uid="{2B8405AB-1746-4B40-AA19-A0D6487666D7}"/>
    <cellStyle name="Normal 128" xfId="57" xr:uid="{6C4C6E20-8946-4652-8064-F85D5094F880}"/>
    <cellStyle name="Normal 153" xfId="54" xr:uid="{256081CE-4078-4718-8A74-AF6E72614D5D}"/>
    <cellStyle name="Normal 2" xfId="31" xr:uid="{43223CC3-3FFD-4951-A079-8CA68AE718AC}"/>
    <cellStyle name="Normal 2 2" xfId="52" xr:uid="{8077379D-C9E9-4ADE-93C4-C2ED43227215}"/>
    <cellStyle name="Normal 2 2 2 3" xfId="58" xr:uid="{E2DB441D-10A6-4575-9A5A-D4714F90EB21}"/>
    <cellStyle name="Normal 3" xfId="56" xr:uid="{CF7A35F8-6FC0-40CF-BA54-90F029FC900D}"/>
    <cellStyle name="Normal 3 2" xfId="72" xr:uid="{241CBCA3-BB5F-45DA-867E-0907710B4AEE}"/>
    <cellStyle name="Normal 4" xfId="49" xr:uid="{9CA5C7A5-51B2-474C-8E7E-E7F9E31DDE60}"/>
    <cellStyle name="Normal 4 2" xfId="73" xr:uid="{9171242E-FBA8-42B2-BD81-1AEEE2ED90EE}"/>
    <cellStyle name="Normal 5" xfId="74" xr:uid="{F1DCED31-3BB4-4DFE-81A7-A4CA332F0FAF}"/>
    <cellStyle name="Normal 8" xfId="59" xr:uid="{CF03CA5B-6895-476E-8838-8266B43CEDC4}"/>
    <cellStyle name="Note 2" xfId="42" xr:uid="{DE2053D8-6D31-458B-AC76-0BADD28E97CE}"/>
    <cellStyle name="Other Table Cell" xfId="86" xr:uid="{D642C553-2031-4F4E-BA27-E33DEA1C4F2D}"/>
    <cellStyle name="Output 2" xfId="43" xr:uid="{914014F7-5953-4AAC-9024-21E9480BBFB8}"/>
    <cellStyle name="Parent row" xfId="75" xr:uid="{4B0671B2-DEB7-4EB7-9C41-8E84CFF25637}"/>
    <cellStyle name="Percent" xfId="82" builtinId="5"/>
    <cellStyle name="Percent 2" xfId="44" xr:uid="{F4A50F20-FDB4-4071-95BE-40051FDF0B70}"/>
    <cellStyle name="Percent 2 2" xfId="77" xr:uid="{25A95AB5-5B10-45B8-BE28-3D37D4626344}"/>
    <cellStyle name="Percent 3" xfId="53" xr:uid="{276BA130-AAB0-4A27-9956-FCEB3CE4F4D7}"/>
    <cellStyle name="Percent 4" xfId="76" xr:uid="{EF63E7D4-F8C9-45A0-8DB7-A1E83E0BA1BE}"/>
    <cellStyle name="Selection" xfId="45" xr:uid="{0E02811C-0991-4830-9400-67AC1C9D4402}"/>
    <cellStyle name="Source Hed" xfId="78" xr:uid="{36EBE3CF-D678-428A-90D8-24E0F64B6D0B}"/>
    <cellStyle name="Source Text" xfId="79" xr:uid="{57A6FB1C-F1F3-4838-A5DB-0A44C308DBA6}"/>
    <cellStyle name="Table Header" xfId="85" xr:uid="{432B2F41-D639-4D22-920E-BC973E514D32}"/>
    <cellStyle name="Title" xfId="1" builtinId="15" customBuiltin="1"/>
    <cellStyle name="Title-1" xfId="80" xr:uid="{92363D2B-1E05-4A89-9CE2-A87370983A5E}"/>
    <cellStyle name="Title-2" xfId="81" xr:uid="{5DB8E9A9-8138-47B7-AD3E-95A9FECE5E9F}"/>
    <cellStyle name="Warning Text 2" xfId="46" xr:uid="{2E268190-30A8-4858-B7EA-8799A0BEBBE5}"/>
  </cellStyles>
  <dxfs count="104">
    <dxf>
      <font>
        <b/>
        <i/>
        <color theme="0"/>
      </font>
      <fill>
        <patternFill>
          <bgColor rgb="FFFF0000"/>
        </patternFill>
      </fill>
    </dxf>
    <dxf>
      <font>
        <b/>
        <i/>
        <color theme="0"/>
      </font>
      <fill>
        <patternFill>
          <bgColor rgb="FFFF0000"/>
        </patternFill>
      </fill>
    </dxf>
    <dxf>
      <font>
        <b/>
        <i/>
        <color theme="0"/>
      </font>
      <fill>
        <patternFill>
          <bgColor rgb="FFFF0000"/>
        </patternFill>
      </fill>
    </dxf>
    <dxf>
      <font>
        <b/>
        <i/>
        <color theme="0"/>
      </font>
      <fill>
        <patternFill>
          <bgColor rgb="FFFF0000"/>
        </patternFill>
      </fill>
    </dxf>
    <dxf>
      <font>
        <b/>
        <i/>
        <color theme="0"/>
      </font>
      <fill>
        <patternFill>
          <bgColor rgb="FFFF0000"/>
        </patternFill>
      </fill>
    </dxf>
    <dxf>
      <font>
        <b/>
        <i/>
        <color theme="0"/>
      </font>
      <fill>
        <patternFill>
          <bgColor rgb="FFFF0000"/>
        </patternFill>
      </fill>
    </dxf>
    <dxf>
      <font>
        <b/>
        <i/>
        <color theme="0"/>
      </font>
      <fill>
        <patternFill>
          <bgColor rgb="FFFF00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theme="0"/>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FF0000"/>
        </patternFill>
      </fill>
    </dxf>
    <dxf>
      <fill>
        <patternFill>
          <bgColor rgb="FF00B050"/>
        </patternFill>
      </fill>
    </dxf>
    <dxf>
      <font>
        <color theme="9"/>
      </font>
      <fill>
        <patternFill>
          <bgColor theme="9" tint="0.79998168889431442"/>
        </patternFill>
      </fill>
    </dxf>
    <dxf>
      <font>
        <color rgb="FF9C5700"/>
      </font>
      <fill>
        <patternFill>
          <bgColor rgb="FFFFEB9C"/>
        </patternFill>
      </fill>
    </dxf>
    <dxf>
      <font>
        <color rgb="FFFF0000"/>
      </font>
      <fill>
        <patternFill>
          <bgColor theme="5" tint="0.79998168889431442"/>
        </patternFill>
      </fill>
    </dxf>
    <dxf>
      <fill>
        <patternFill>
          <bgColor theme="0"/>
        </patternFill>
      </fill>
    </dxf>
    <dxf>
      <fill>
        <patternFill>
          <bgColor theme="5" tint="0.59996337778862885"/>
        </patternFill>
      </fill>
    </dxf>
    <dxf>
      <fill>
        <patternFill>
          <bgColor rgb="FFFF0000"/>
        </patternFill>
      </fill>
    </dxf>
    <dxf>
      <fill>
        <patternFill>
          <bgColor theme="9" tint="0.7999816888943144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theme="2" tint="-9.9948118533890809E-2"/>
        </patternFill>
      </fill>
    </dxf>
    <dxf>
      <fill>
        <patternFill>
          <bgColor theme="2" tint="-9.9948118533890809E-2"/>
        </patternFill>
      </fill>
    </dxf>
    <dxf>
      <fill>
        <patternFill>
          <bgColor theme="5" tint="0.59996337778862885"/>
        </patternFill>
      </fill>
    </dxf>
    <dxf>
      <fill>
        <patternFill>
          <bgColor rgb="FFFF0000"/>
        </patternFill>
      </fill>
    </dxf>
    <dxf>
      <fill>
        <patternFill>
          <bgColor rgb="FFFFC000"/>
        </patternFill>
      </fill>
    </dxf>
    <dxf>
      <fill>
        <patternFill>
          <bgColor theme="5" tint="0.59996337778862885"/>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59996337778862885"/>
        </patternFill>
      </fill>
    </dxf>
    <dxf>
      <fill>
        <patternFill>
          <bgColor theme="9" tint="0.59996337778862885"/>
        </patternFill>
      </fill>
    </dxf>
    <dxf>
      <fill>
        <patternFill>
          <bgColor rgb="FF00B050"/>
        </patternFill>
      </fill>
    </dxf>
    <dxf>
      <fill>
        <patternFill>
          <bgColor theme="9" tint="0.59996337778862885"/>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colors>
    <mruColors>
      <color rgb="FF9696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GB"/>
              <a:t>Scope 1 and 2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manualLayout>
          <c:layoutTarget val="inner"/>
          <c:xMode val="edge"/>
          <c:yMode val="edge"/>
          <c:x val="0.11808484999504164"/>
          <c:y val="0.17666140223235674"/>
          <c:w val="0.42475354262727194"/>
          <c:h val="0.724234988123334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76-49CC-AB99-4A19DE3188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76-49CC-AB99-4A19DE3188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076-49CC-AB99-4A19DE31881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076-49CC-AB99-4A19DE31881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076-49CC-AB99-4A19DE31881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076-49CC-AB99-4A19DE31881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847-4891-8980-99CD1D521595}"/>
              </c:ext>
            </c:extLst>
          </c:dPt>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Totals!$B$5:$B$11</c:f>
              <c:strCache>
                <c:ptCount val="7"/>
                <c:pt idx="0">
                  <c:v>SC1 Building energy</c:v>
                </c:pt>
                <c:pt idx="1">
                  <c:v>SC1 Travel</c:v>
                </c:pt>
                <c:pt idx="2">
                  <c:v>SC1 Refrigerants</c:v>
                </c:pt>
                <c:pt idx="3">
                  <c:v>SC1  Waste</c:v>
                </c:pt>
                <c:pt idx="4">
                  <c:v>SC1 Anaesthetic gases</c:v>
                </c:pt>
                <c:pt idx="5">
                  <c:v>SC2 Purchased and consumed grid electricity</c:v>
                </c:pt>
                <c:pt idx="6">
                  <c:v>SC2 Heat networks</c:v>
                </c:pt>
              </c:strCache>
            </c:strRef>
          </c:cat>
          <c:val>
            <c:numRef>
              <c:f>Totals!$G$5:$G$11</c:f>
              <c:numCache>
                <c:formatCode>_(* #,##0.00_);_(* \(#,##0.00\);_(* "-"??_);_(@_)</c:formatCode>
                <c:ptCount val="7"/>
                <c:pt idx="0">
                  <c:v>1.1031040000000001</c:v>
                </c:pt>
                <c:pt idx="1">
                  <c:v>0.92586800000000002</c:v>
                </c:pt>
                <c:pt idx="2">
                  <c:v>1.38</c:v>
                </c:pt>
                <c:pt idx="3">
                  <c:v>0</c:v>
                </c:pt>
                <c:pt idx="4">
                  <c:v>0</c:v>
                </c:pt>
                <c:pt idx="5">
                  <c:v>0</c:v>
                </c:pt>
                <c:pt idx="6">
                  <c:v>0</c:v>
                </c:pt>
              </c:numCache>
            </c:numRef>
          </c:val>
          <c:extLst>
            <c:ext xmlns:c16="http://schemas.microsoft.com/office/drawing/2014/chart" uri="{C3380CC4-5D6E-409C-BE32-E72D297353CC}">
              <c16:uniqueId val="{00000000-2EC5-4781-8167-92D8C8905F62}"/>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7784264700132071"/>
          <c:y val="0.22721467484301761"/>
          <c:w val="0.41082820114329283"/>
          <c:h val="0.629567192518588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GB"/>
              <a:t>Scope 1,2 and 3 emissions (excluding supply chain)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pieChart>
        <c:varyColors val="1"/>
        <c:ser>
          <c:idx val="4"/>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0F-4783-877E-63763AEFF1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83-4513-4CCC-9955-9D1E5D667E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0F-4783-877E-63763AEFF1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85-4513-4CCC-9955-9D1E5D667EF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87-4513-4CCC-9955-9D1E5D667EF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00F-4783-877E-63763AEFF1C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28B-406A-941C-E67990857362}"/>
              </c:ext>
            </c:extLst>
          </c:dPt>
          <c:dPt>
            <c:idx val="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8D-4513-4CCC-9955-9D1E5D667EF3}"/>
              </c:ext>
            </c:extLst>
          </c:dPt>
          <c:dPt>
            <c:idx val="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F-4513-4CCC-9955-9D1E5D667EF3}"/>
              </c:ext>
            </c:extLst>
          </c:dPt>
          <c:dPt>
            <c:idx val="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91-4513-4CCC-9955-9D1E5D667EF3}"/>
              </c:ext>
            </c:extLst>
          </c:dPt>
          <c:dPt>
            <c:idx val="1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93-4513-4CCC-9955-9D1E5D667EF3}"/>
              </c:ext>
            </c:extLst>
          </c:dPt>
          <c:dPt>
            <c:idx val="1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95-4513-4CCC-9955-9D1E5D667EF3}"/>
              </c:ext>
            </c:extLst>
          </c:dPt>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(Totals!$B$5:$B$11,Totals!$B$13:$B$21)</c15:sqref>
                  </c15:fullRef>
                </c:ext>
              </c:extLst>
              <c:f>(Totals!$B$5:$B$11,Totals!$B$16:$B$20)</c:f>
              <c:strCache>
                <c:ptCount val="12"/>
                <c:pt idx="0">
                  <c:v>SC1 Building energy</c:v>
                </c:pt>
                <c:pt idx="1">
                  <c:v>SC1 Travel</c:v>
                </c:pt>
                <c:pt idx="2">
                  <c:v>SC1 Refrigerants</c:v>
                </c:pt>
                <c:pt idx="3">
                  <c:v>SC1  Waste</c:v>
                </c:pt>
                <c:pt idx="4">
                  <c:v>SC1 Anaesthetic gases</c:v>
                </c:pt>
                <c:pt idx="5">
                  <c:v>SC2 Purchased and consumed grid electricity</c:v>
                </c:pt>
                <c:pt idx="6">
                  <c:v>SC2 Heat networks</c:v>
                </c:pt>
                <c:pt idx="7">
                  <c:v>SC3 Employee business travel-road, rail, air</c:v>
                </c:pt>
                <c:pt idx="8">
                  <c:v>SC3 Water</c:v>
                </c:pt>
                <c:pt idx="9">
                  <c:v>SC3 Waste</c:v>
                </c:pt>
                <c:pt idx="10">
                  <c:v>SC3 Contractor logistics</c:v>
                </c:pt>
                <c:pt idx="11">
                  <c:v>SC3 Inhalers</c:v>
                </c:pt>
              </c:strCache>
            </c:strRef>
          </c:cat>
          <c:val>
            <c:numRef>
              <c:extLst>
                <c:ext xmlns:c15="http://schemas.microsoft.com/office/drawing/2012/chart" uri="{02D57815-91ED-43cb-92C2-25804820EDAC}">
                  <c15:fullRef>
                    <c15:sqref>(Totals!$G$5:$G$11,Totals!$G$13:$G$21)</c15:sqref>
                  </c15:fullRef>
                </c:ext>
              </c:extLst>
              <c:f>(Totals!$G$5:$G$11,Totals!$G$16:$G$20)</c:f>
              <c:numCache>
                <c:formatCode>_(* #,##0.00_);_(* \(#,##0.00\);_(* "-"??_);_(@_)</c:formatCode>
                <c:ptCount val="12"/>
                <c:pt idx="0">
                  <c:v>1.1031040000000001</c:v>
                </c:pt>
                <c:pt idx="1">
                  <c:v>0.92586800000000002</c:v>
                </c:pt>
                <c:pt idx="2">
                  <c:v>1.38</c:v>
                </c:pt>
                <c:pt idx="3">
                  <c:v>0</c:v>
                </c:pt>
                <c:pt idx="4">
                  <c:v>0</c:v>
                </c:pt>
                <c:pt idx="5">
                  <c:v>0</c:v>
                </c:pt>
                <c:pt idx="6">
                  <c:v>0</c:v>
                </c:pt>
                <c:pt idx="7">
                  <c:v>0</c:v>
                </c:pt>
                <c:pt idx="8">
                  <c:v>0</c:v>
                </c:pt>
                <c:pt idx="9">
                  <c:v>0</c:v>
                </c:pt>
                <c:pt idx="10">
                  <c:v>0</c:v>
                </c:pt>
                <c:pt idx="11">
                  <c:v>0</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4-007F-458F-BE99-06219EB82A82}"/>
            </c:ext>
          </c:extLst>
        </c:ser>
        <c:dLbls>
          <c:showLegendKey val="0"/>
          <c:showVal val="0"/>
          <c:showCatName val="0"/>
          <c:showSerName val="0"/>
          <c:showPercent val="1"/>
          <c:showBubbleSize val="0"/>
          <c:showLeaderLines val="1"/>
        </c:dLbls>
        <c:firstSliceAng val="0"/>
        <c:extLst/>
      </c:pieChart>
      <c:spPr>
        <a:noFill/>
        <a:ln>
          <a:noFill/>
        </a:ln>
        <a:effectLst/>
      </c:spPr>
    </c:plotArea>
    <c:legend>
      <c:legendPos val="r"/>
      <c:layout>
        <c:manualLayout>
          <c:xMode val="edge"/>
          <c:yMode val="edge"/>
          <c:x val="0.59999188495660227"/>
          <c:y val="0.11555845054878314"/>
          <c:w val="0.39102691497279923"/>
          <c:h val="0.832564992257617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GB"/>
              <a:t>Scope 1,2 and 3 footprint (including supply chain)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7516034633601824E-2"/>
          <c:y val="0.25097002848762984"/>
          <c:w val="0.56154680664916901"/>
          <c:h val="0.57366489027121936"/>
        </c:manualLayout>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A6EA-4F57-9DF5-C3E2D62A685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A6EA-4F57-9DF5-C3E2D62A6854}"/>
              </c:ext>
            </c:extLst>
          </c:dPt>
          <c:dPt>
            <c:idx val="2"/>
            <c:bubble3D val="0"/>
            <c:explosion val="25"/>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A6EA-4F57-9DF5-C3E2D62A6854}"/>
              </c:ext>
            </c:extLst>
          </c:dPt>
          <c:dLbls>
            <c:dLbl>
              <c:idx val="0"/>
              <c:layout>
                <c:manualLayout>
                  <c:x val="-5.7141471138351559E-2"/>
                  <c:y val="-1.849914958069997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6EA-4F57-9DF5-C3E2D62A6854}"/>
                </c:ext>
              </c:extLst>
            </c:dLbl>
            <c:dLbl>
              <c:idx val="1"/>
              <c:layout>
                <c:manualLayout>
                  <c:x val="5.5926525650382558E-2"/>
                  <c:y val="-2.04268611068160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6EA-4F57-9DF5-C3E2D62A6854}"/>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Totals!$A$28:$A$30</c:f>
              <c:strCache>
                <c:ptCount val="3"/>
                <c:pt idx="0">
                  <c:v>Total Scope 1</c:v>
                </c:pt>
                <c:pt idx="1">
                  <c:v>Total Scope 2</c:v>
                </c:pt>
                <c:pt idx="2">
                  <c:v>Total Scope 3</c:v>
                </c:pt>
              </c:strCache>
            </c:strRef>
          </c:cat>
          <c:val>
            <c:numRef>
              <c:f>Totals!$G$28:$G$30</c:f>
              <c:numCache>
                <c:formatCode>_(* #,##0.00_);_(* \(#,##0.00\);_(* "-"??_);_(@_)</c:formatCode>
                <c:ptCount val="3"/>
                <c:pt idx="0">
                  <c:v>3.4089719999999999</c:v>
                </c:pt>
                <c:pt idx="1">
                  <c:v>0</c:v>
                </c:pt>
                <c:pt idx="2">
                  <c:v>0</c:v>
                </c:pt>
              </c:numCache>
            </c:numRef>
          </c:val>
          <c:extLst>
            <c:ext xmlns:c16="http://schemas.microsoft.com/office/drawing/2014/chart" uri="{C3380CC4-5D6E-409C-BE32-E72D297353CC}">
              <c16:uniqueId val="{00000000-A6EA-4F57-9DF5-C3E2D62A6854}"/>
            </c:ext>
          </c:extLst>
        </c:ser>
        <c:dLbls>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66213859474462233"/>
          <c:y val="0.26449537875433204"/>
          <c:w val="0.16337394032642472"/>
          <c:h val="0.583163600272976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Estates emissions intensity Kg CO2e per m2</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'Building Totals &amp; Benchmarking'!$B$84</c:f>
              <c:strCache>
                <c:ptCount val="1"/>
                <c:pt idx="0">
                  <c:v>Grid Electricity</c:v>
                </c:pt>
              </c:strCache>
            </c:strRef>
          </c:tx>
          <c:spPr>
            <a:solidFill>
              <a:schemeClr val="accent1"/>
            </a:solidFill>
            <a:ln>
              <a:noFill/>
            </a:ln>
            <a:effectLst/>
          </c:spPr>
          <c:invertIfNegative val="0"/>
          <c:cat>
            <c:strRef>
              <c:f>'Building Totals &amp; Benchmarking'!$A$85:$A$117</c:f>
              <c:strCache>
                <c:ptCount val="33"/>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Benchmarking'!$B$85:$B$117</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0-9241-4412-9EB3-A7A80FC3DA17}"/>
            </c:ext>
          </c:extLst>
        </c:ser>
        <c:ser>
          <c:idx val="1"/>
          <c:order val="1"/>
          <c:tx>
            <c:strRef>
              <c:f>'Building Totals &amp; Benchmarking'!$C$84</c:f>
              <c:strCache>
                <c:ptCount val="1"/>
                <c:pt idx="0">
                  <c:v>Grid gas</c:v>
                </c:pt>
              </c:strCache>
            </c:strRef>
          </c:tx>
          <c:spPr>
            <a:solidFill>
              <a:schemeClr val="accent2"/>
            </a:solidFill>
            <a:ln>
              <a:noFill/>
            </a:ln>
            <a:effectLst/>
          </c:spPr>
          <c:invertIfNegative val="0"/>
          <c:cat>
            <c:strRef>
              <c:f>'Building Totals &amp; Benchmarking'!$A$85:$A$117</c:f>
              <c:strCache>
                <c:ptCount val="33"/>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Benchmarking'!$C$85:$C$117</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1-9241-4412-9EB3-A7A80FC3DA17}"/>
            </c:ext>
          </c:extLst>
        </c:ser>
        <c:ser>
          <c:idx val="2"/>
          <c:order val="2"/>
          <c:tx>
            <c:strRef>
              <c:f>'Building Totals &amp; Benchmarking'!$D$84</c:f>
              <c:strCache>
                <c:ptCount val="1"/>
                <c:pt idx="0">
                  <c:v>Bottled gas</c:v>
                </c:pt>
              </c:strCache>
            </c:strRef>
          </c:tx>
          <c:spPr>
            <a:solidFill>
              <a:schemeClr val="accent3"/>
            </a:solidFill>
            <a:ln>
              <a:noFill/>
            </a:ln>
            <a:effectLst/>
          </c:spPr>
          <c:invertIfNegative val="0"/>
          <c:cat>
            <c:strRef>
              <c:f>'Building Totals &amp; Benchmarking'!$A$85:$A$117</c:f>
              <c:strCache>
                <c:ptCount val="33"/>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Benchmarking'!$D$85:$D$117</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2-9241-4412-9EB3-A7A80FC3DA17}"/>
            </c:ext>
          </c:extLst>
        </c:ser>
        <c:ser>
          <c:idx val="3"/>
          <c:order val="3"/>
          <c:tx>
            <c:strRef>
              <c:f>'Building Totals &amp; Benchmarking'!$E$84</c:f>
              <c:strCache>
                <c:ptCount val="1"/>
                <c:pt idx="0">
                  <c:v>Solid fuel</c:v>
                </c:pt>
              </c:strCache>
            </c:strRef>
          </c:tx>
          <c:spPr>
            <a:solidFill>
              <a:schemeClr val="accent4"/>
            </a:solidFill>
            <a:ln>
              <a:noFill/>
            </a:ln>
            <a:effectLst/>
          </c:spPr>
          <c:invertIfNegative val="0"/>
          <c:cat>
            <c:strRef>
              <c:f>'Building Totals &amp; Benchmarking'!$A$85:$A$117</c:f>
              <c:strCache>
                <c:ptCount val="33"/>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Benchmarking'!$E$85:$E$117</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3-9241-4412-9EB3-A7A80FC3DA17}"/>
            </c:ext>
          </c:extLst>
        </c:ser>
        <c:ser>
          <c:idx val="4"/>
          <c:order val="4"/>
          <c:tx>
            <c:strRef>
              <c:f>'Building Totals &amp; Benchmarking'!$F$84</c:f>
              <c:strCache>
                <c:ptCount val="1"/>
                <c:pt idx="0">
                  <c:v>Liquid fuel</c:v>
                </c:pt>
              </c:strCache>
            </c:strRef>
          </c:tx>
          <c:spPr>
            <a:solidFill>
              <a:schemeClr val="accent5"/>
            </a:solidFill>
            <a:ln>
              <a:noFill/>
            </a:ln>
            <a:effectLst/>
          </c:spPr>
          <c:invertIfNegative val="0"/>
          <c:cat>
            <c:strRef>
              <c:f>'Building Totals &amp; Benchmarking'!$A$85:$A$117</c:f>
              <c:strCache>
                <c:ptCount val="33"/>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Benchmarking'!$F$85:$F$117</c:f>
              <c:numCache>
                <c:formatCode>0.00</c:formatCode>
                <c:ptCount val="33"/>
                <c:pt idx="0">
                  <c:v>0</c:v>
                </c:pt>
                <c:pt idx="1">
                  <c:v>0</c:v>
                </c:pt>
                <c:pt idx="2">
                  <c:v>0</c:v>
                </c:pt>
                <c:pt idx="3">
                  <c:v>1.1031040000000001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4-9241-4412-9EB3-A7A80FC3DA17}"/>
            </c:ext>
          </c:extLst>
        </c:ser>
        <c:ser>
          <c:idx val="5"/>
          <c:order val="5"/>
          <c:tx>
            <c:strRef>
              <c:f>'Building Totals &amp; Benchmarking'!$H$84</c:f>
              <c:strCache>
                <c:ptCount val="1"/>
                <c:pt idx="0">
                  <c:v>Refrigerants</c:v>
                </c:pt>
              </c:strCache>
            </c:strRef>
          </c:tx>
          <c:spPr>
            <a:solidFill>
              <a:schemeClr val="accent6"/>
            </a:solidFill>
            <a:ln>
              <a:noFill/>
            </a:ln>
            <a:effectLst/>
          </c:spPr>
          <c:invertIfNegative val="0"/>
          <c:cat>
            <c:strRef>
              <c:f>'Building Totals &amp; Benchmarking'!$A$85:$A$117</c:f>
              <c:strCache>
                <c:ptCount val="33"/>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Benchmarking'!$H$85:$H$117</c:f>
              <c:numCache>
                <c:formatCode>0.00</c:formatCode>
                <c:ptCount val="33"/>
                <c:pt idx="0">
                  <c:v>0</c:v>
                </c:pt>
                <c:pt idx="1">
                  <c:v>0</c:v>
                </c:pt>
                <c:pt idx="2">
                  <c:v>0</c:v>
                </c:pt>
                <c:pt idx="3">
                  <c:v>1.38</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5-9241-4412-9EB3-A7A80FC3DA17}"/>
            </c:ext>
          </c:extLst>
        </c:ser>
        <c:ser>
          <c:idx val="6"/>
          <c:order val="6"/>
          <c:tx>
            <c:strRef>
              <c:f>'Building Totals &amp; Benchmarking'!$G$84</c:f>
              <c:strCache>
                <c:ptCount val="1"/>
                <c:pt idx="0">
                  <c:v>Heat networks</c:v>
                </c:pt>
              </c:strCache>
            </c:strRef>
          </c:tx>
          <c:spPr>
            <a:solidFill>
              <a:schemeClr val="accent1">
                <a:lumMod val="60000"/>
              </a:schemeClr>
            </a:solidFill>
            <a:ln>
              <a:noFill/>
            </a:ln>
            <a:effectLst/>
          </c:spPr>
          <c:invertIfNegative val="0"/>
          <c:val>
            <c:numRef>
              <c:f>'Building Totals &amp; Benchmarking'!$G$85:$G$117</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1-0DE8-443E-A6E5-FB77EA561F14}"/>
            </c:ext>
          </c:extLst>
        </c:ser>
        <c:dLbls>
          <c:showLegendKey val="0"/>
          <c:showVal val="0"/>
          <c:showCatName val="0"/>
          <c:showSerName val="0"/>
          <c:showPercent val="0"/>
          <c:showBubbleSize val="0"/>
        </c:dLbls>
        <c:gapWidth val="55"/>
        <c:overlap val="100"/>
        <c:axId val="1130711759"/>
        <c:axId val="1130731727"/>
      </c:barChart>
      <c:catAx>
        <c:axId val="113071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30731727"/>
        <c:crosses val="autoZero"/>
        <c:auto val="1"/>
        <c:lblAlgn val="ctr"/>
        <c:lblOffset val="100"/>
        <c:noMultiLvlLbl val="0"/>
      </c:catAx>
      <c:valAx>
        <c:axId val="11307317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3071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Buildings cost intensity $ per m2</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tx>
            <c:strRef>
              <c:f>'Building Totals &amp; Benchmarking'!$B$122</c:f>
              <c:strCache>
                <c:ptCount val="1"/>
                <c:pt idx="0">
                  <c:v>Grid Electricity</c:v>
                </c:pt>
              </c:strCache>
            </c:strRef>
          </c:tx>
          <c:spPr>
            <a:solidFill>
              <a:schemeClr val="accent2"/>
            </a:solidFill>
            <a:ln>
              <a:noFill/>
            </a:ln>
            <a:effectLst/>
          </c:spPr>
          <c:invertIfNegative val="0"/>
          <c:cat>
            <c:strRef>
              <c:f>'Building Totals &amp; Benchmarking'!$A$123:$A$155</c:f>
              <c:strCache>
                <c:ptCount val="33"/>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Benchmarking'!$B$123:$B$155</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1-DFD1-44EE-8E86-1F3E7B4A497D}"/>
            </c:ext>
          </c:extLst>
        </c:ser>
        <c:ser>
          <c:idx val="2"/>
          <c:order val="1"/>
          <c:tx>
            <c:strRef>
              <c:f>'Building Totals &amp; Benchmarking'!$C$122</c:f>
              <c:strCache>
                <c:ptCount val="1"/>
                <c:pt idx="0">
                  <c:v>Grid gas</c:v>
                </c:pt>
              </c:strCache>
            </c:strRef>
          </c:tx>
          <c:spPr>
            <a:solidFill>
              <a:schemeClr val="accent3"/>
            </a:solidFill>
            <a:ln>
              <a:noFill/>
            </a:ln>
            <a:effectLst/>
          </c:spPr>
          <c:invertIfNegative val="0"/>
          <c:cat>
            <c:strRef>
              <c:f>'Building Totals &amp; Benchmarking'!$A$123:$A$155</c:f>
              <c:strCache>
                <c:ptCount val="33"/>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Benchmarking'!$C$123:$C$155</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2-DFD1-44EE-8E86-1F3E7B4A497D}"/>
            </c:ext>
          </c:extLst>
        </c:ser>
        <c:ser>
          <c:idx val="3"/>
          <c:order val="2"/>
          <c:tx>
            <c:strRef>
              <c:f>'Building Totals &amp; Benchmarking'!$D$122</c:f>
              <c:strCache>
                <c:ptCount val="1"/>
                <c:pt idx="0">
                  <c:v>Bottled gas</c:v>
                </c:pt>
              </c:strCache>
            </c:strRef>
          </c:tx>
          <c:spPr>
            <a:solidFill>
              <a:schemeClr val="accent4"/>
            </a:solidFill>
            <a:ln>
              <a:noFill/>
            </a:ln>
            <a:effectLst/>
          </c:spPr>
          <c:invertIfNegative val="0"/>
          <c:cat>
            <c:strRef>
              <c:f>'Building Totals &amp; Benchmarking'!$A$123:$A$155</c:f>
              <c:strCache>
                <c:ptCount val="33"/>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Benchmarking'!$D$123:$D$155</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3-DFD1-44EE-8E86-1F3E7B4A497D}"/>
            </c:ext>
          </c:extLst>
        </c:ser>
        <c:ser>
          <c:idx val="4"/>
          <c:order val="3"/>
          <c:tx>
            <c:strRef>
              <c:f>'Building Totals &amp; Benchmarking'!$E$122</c:f>
              <c:strCache>
                <c:ptCount val="1"/>
                <c:pt idx="0">
                  <c:v>Solid fuel</c:v>
                </c:pt>
              </c:strCache>
            </c:strRef>
          </c:tx>
          <c:spPr>
            <a:solidFill>
              <a:schemeClr val="accent5"/>
            </a:solidFill>
            <a:ln>
              <a:noFill/>
            </a:ln>
            <a:effectLst/>
          </c:spPr>
          <c:invertIfNegative val="0"/>
          <c:cat>
            <c:strRef>
              <c:f>'Building Totals &amp; Benchmarking'!$A$123:$A$155</c:f>
              <c:strCache>
                <c:ptCount val="33"/>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Benchmarking'!$E$123:$E$155</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4-DFD1-44EE-8E86-1F3E7B4A497D}"/>
            </c:ext>
          </c:extLst>
        </c:ser>
        <c:ser>
          <c:idx val="5"/>
          <c:order val="4"/>
          <c:tx>
            <c:strRef>
              <c:f>'Building Totals &amp; Benchmarking'!$F$122</c:f>
              <c:strCache>
                <c:ptCount val="1"/>
                <c:pt idx="0">
                  <c:v>Liquid fuel</c:v>
                </c:pt>
              </c:strCache>
            </c:strRef>
          </c:tx>
          <c:spPr>
            <a:solidFill>
              <a:schemeClr val="accent6"/>
            </a:solidFill>
            <a:ln>
              <a:noFill/>
            </a:ln>
            <a:effectLst/>
          </c:spPr>
          <c:invertIfNegative val="0"/>
          <c:cat>
            <c:strRef>
              <c:f>'Building Totals &amp; Benchmarking'!$A$123:$A$155</c:f>
              <c:strCache>
                <c:ptCount val="33"/>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Benchmarking'!$F$123:$F$155</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5-DFD1-44EE-8E86-1F3E7B4A497D}"/>
            </c:ext>
          </c:extLst>
        </c:ser>
        <c:ser>
          <c:idx val="6"/>
          <c:order val="5"/>
          <c:tx>
            <c:strRef>
              <c:f>'Building Totals &amp; Benchmarking'!$H$122</c:f>
              <c:strCache>
                <c:ptCount val="1"/>
                <c:pt idx="0">
                  <c:v>Refrigerants</c:v>
                </c:pt>
              </c:strCache>
            </c:strRef>
          </c:tx>
          <c:spPr>
            <a:solidFill>
              <a:schemeClr val="accent1">
                <a:lumMod val="60000"/>
              </a:schemeClr>
            </a:solidFill>
            <a:ln>
              <a:noFill/>
            </a:ln>
            <a:effectLst/>
          </c:spPr>
          <c:invertIfNegative val="0"/>
          <c:cat>
            <c:strRef>
              <c:f>'Building Totals &amp; Benchmarking'!$A$123:$A$155</c:f>
              <c:strCache>
                <c:ptCount val="33"/>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Benchmarking'!$H$123:$H$155</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6-DFD1-44EE-8E86-1F3E7B4A497D}"/>
            </c:ext>
          </c:extLst>
        </c:ser>
        <c:ser>
          <c:idx val="0"/>
          <c:order val="6"/>
          <c:tx>
            <c:strRef>
              <c:f>'Building Totals &amp; Benchmarking'!$G$122</c:f>
              <c:strCache>
                <c:ptCount val="1"/>
                <c:pt idx="0">
                  <c:v>Heat networks</c:v>
                </c:pt>
              </c:strCache>
            </c:strRef>
          </c:tx>
          <c:spPr>
            <a:solidFill>
              <a:schemeClr val="accent1"/>
            </a:solidFill>
            <a:ln>
              <a:noFill/>
            </a:ln>
            <a:effectLst/>
          </c:spPr>
          <c:invertIfNegative val="0"/>
          <c:val>
            <c:numRef>
              <c:f>'Building Totals &amp; Benchmarking'!$G$123:$G$155</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1-E7A2-42CE-9911-18C2C64C93FF}"/>
            </c:ext>
          </c:extLst>
        </c:ser>
        <c:dLbls>
          <c:showLegendKey val="0"/>
          <c:showVal val="0"/>
          <c:showCatName val="0"/>
          <c:showSerName val="0"/>
          <c:showPercent val="0"/>
          <c:showBubbleSize val="0"/>
        </c:dLbls>
        <c:gapWidth val="55"/>
        <c:overlap val="100"/>
        <c:axId val="963181455"/>
        <c:axId val="963161071"/>
      </c:barChart>
      <c:catAx>
        <c:axId val="96318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63161071"/>
        <c:crosses val="autoZero"/>
        <c:auto val="1"/>
        <c:lblAlgn val="ctr"/>
        <c:lblOffset val="100"/>
        <c:noMultiLvlLbl val="0"/>
      </c:catAx>
      <c:valAx>
        <c:axId val="963161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6318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CO2 emissions profile by site/building</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'Building Totals &amp; Benchmarking'!$B$9</c:f>
              <c:strCache>
                <c:ptCount val="1"/>
                <c:pt idx="0">
                  <c:v>Grid Electricity</c:v>
                </c:pt>
              </c:strCache>
            </c:strRef>
          </c:tx>
          <c:spPr>
            <a:solidFill>
              <a:schemeClr val="accent1"/>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Benchmarking'!$B$10:$B$42</c15:sqref>
                  </c15:fullRef>
                </c:ext>
              </c:extLst>
              <c:f>'Building Totals &amp; Benchmarking'!$B$10:$B$24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0-F451-40BC-A203-D4BE8E70A56C}"/>
            </c:ext>
          </c:extLst>
        </c:ser>
        <c:ser>
          <c:idx val="1"/>
          <c:order val="1"/>
          <c:tx>
            <c:strRef>
              <c:f>'Building Totals &amp; Benchmarking'!$C$9</c:f>
              <c:strCache>
                <c:ptCount val="1"/>
                <c:pt idx="0">
                  <c:v>Grid gas</c:v>
                </c:pt>
              </c:strCache>
            </c:strRef>
          </c:tx>
          <c:spPr>
            <a:solidFill>
              <a:schemeClr val="accent2"/>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Benchmarking'!$C$10:$C$42</c15:sqref>
                  </c15:fullRef>
                </c:ext>
              </c:extLst>
              <c:f>'Building Totals &amp; Benchmarking'!$C$10:$C$24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F451-40BC-A203-D4BE8E70A56C}"/>
            </c:ext>
          </c:extLst>
        </c:ser>
        <c:ser>
          <c:idx val="2"/>
          <c:order val="2"/>
          <c:tx>
            <c:strRef>
              <c:f>'Building Totals &amp; Benchmarking'!$D$9</c:f>
              <c:strCache>
                <c:ptCount val="1"/>
                <c:pt idx="0">
                  <c:v>Bottled gas</c:v>
                </c:pt>
              </c:strCache>
            </c:strRef>
          </c:tx>
          <c:spPr>
            <a:solidFill>
              <a:schemeClr val="accent3"/>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Benchmarking'!$D$10:$D$42</c15:sqref>
                  </c15:fullRef>
                </c:ext>
              </c:extLst>
              <c:f>'Building Totals &amp; Benchmarking'!$D$10:$D$24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2-F451-40BC-A203-D4BE8E70A56C}"/>
            </c:ext>
          </c:extLst>
        </c:ser>
        <c:ser>
          <c:idx val="4"/>
          <c:order val="4"/>
          <c:tx>
            <c:strRef>
              <c:f>'Building Totals &amp; Benchmarking'!$F$9</c:f>
              <c:strCache>
                <c:ptCount val="1"/>
                <c:pt idx="0">
                  <c:v>Liquid fuel</c:v>
                </c:pt>
              </c:strCache>
            </c:strRef>
          </c:tx>
          <c:spPr>
            <a:solidFill>
              <a:schemeClr val="accent5"/>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Benchmarking'!$F$10:$F$42</c15:sqref>
                  </c15:fullRef>
                </c:ext>
              </c:extLst>
              <c:f>'Building Totals &amp; Benchmarking'!$F$10:$F$24</c:f>
              <c:numCache>
                <c:formatCode>0.00</c:formatCode>
                <c:ptCount val="15"/>
                <c:pt idx="0">
                  <c:v>0</c:v>
                </c:pt>
                <c:pt idx="1">
                  <c:v>0</c:v>
                </c:pt>
                <c:pt idx="2">
                  <c:v>0</c:v>
                </c:pt>
                <c:pt idx="3">
                  <c:v>1103.104</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4-F451-40BC-A203-D4BE8E70A56C}"/>
            </c:ext>
          </c:extLst>
        </c:ser>
        <c:ser>
          <c:idx val="5"/>
          <c:order val="5"/>
          <c:tx>
            <c:strRef>
              <c:f>'Building Totals &amp; Benchmarking'!$H$9</c:f>
              <c:strCache>
                <c:ptCount val="1"/>
                <c:pt idx="0">
                  <c:v>Vehicle Fuel</c:v>
                </c:pt>
              </c:strCache>
            </c:strRef>
          </c:tx>
          <c:spPr>
            <a:solidFill>
              <a:schemeClr val="accent6"/>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Benchmarking'!$H$10:$H$42</c15:sqref>
                  </c15:fullRef>
                </c:ext>
              </c:extLst>
              <c:f>'Building Totals &amp; Benchmarking'!$H$10:$H$24</c:f>
              <c:numCache>
                <c:formatCode>0.00</c:formatCode>
                <c:ptCount val="15"/>
                <c:pt idx="0">
                  <c:v>0</c:v>
                </c:pt>
                <c:pt idx="1">
                  <c:v>0</c:v>
                </c:pt>
                <c:pt idx="2">
                  <c:v>0</c:v>
                </c:pt>
                <c:pt idx="3">
                  <c:v>925.86800000000005</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5-F451-40BC-A203-D4BE8E70A56C}"/>
            </c:ext>
          </c:extLst>
        </c:ser>
        <c:ser>
          <c:idx val="6"/>
          <c:order val="6"/>
          <c:tx>
            <c:strRef>
              <c:f>'Building Totals &amp; Benchmarking'!$I$9</c:f>
              <c:strCache>
                <c:ptCount val="1"/>
                <c:pt idx="0">
                  <c:v>Vehicle Distance</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Benchmarking'!$I$10:$I$42</c15:sqref>
                  </c15:fullRef>
                </c:ext>
              </c:extLst>
              <c:f>'Building Totals &amp; Benchmarking'!$I$10:$I$24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6-F451-40BC-A203-D4BE8E70A56C}"/>
            </c:ext>
          </c:extLst>
        </c:ser>
        <c:ser>
          <c:idx val="7"/>
          <c:order val="7"/>
          <c:tx>
            <c:strRef>
              <c:f>'Building Totals &amp; Benchmarking'!$J$9</c:f>
              <c:strCache>
                <c:ptCount val="1"/>
                <c:pt idx="0">
                  <c:v>Business travel</c:v>
                </c:pt>
              </c:strCache>
            </c:strRef>
          </c:tx>
          <c:spPr>
            <a:solidFill>
              <a:schemeClr val="accent2">
                <a:lumMod val="60000"/>
              </a:schemeClr>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Benchmarking'!$J$10:$J$42</c15:sqref>
                  </c15:fullRef>
                </c:ext>
              </c:extLst>
              <c:f>'Building Totals &amp; Benchmarking'!$J$10:$J$24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7-F451-40BC-A203-D4BE8E70A56C}"/>
            </c:ext>
          </c:extLst>
        </c:ser>
        <c:ser>
          <c:idx val="8"/>
          <c:order val="8"/>
          <c:tx>
            <c:strRef>
              <c:f>'Building Totals &amp; Benchmarking'!$K$9</c:f>
              <c:strCache>
                <c:ptCount val="1"/>
                <c:pt idx="0">
                  <c:v>Anaesthetic gases</c:v>
                </c:pt>
              </c:strCache>
            </c:strRef>
          </c:tx>
          <c:spPr>
            <a:solidFill>
              <a:schemeClr val="accent3">
                <a:lumMod val="60000"/>
              </a:schemeClr>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Benchmarking'!$K$10:$K$42</c15:sqref>
                  </c15:fullRef>
                </c:ext>
              </c:extLst>
              <c:f>'Building Totals &amp; Benchmarking'!$K$10:$K$24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8-F451-40BC-A203-D4BE8E70A56C}"/>
            </c:ext>
          </c:extLst>
        </c:ser>
        <c:ser>
          <c:idx val="9"/>
          <c:order val="9"/>
          <c:tx>
            <c:strRef>
              <c:f>'Building Totals &amp; Benchmarking'!$L$9</c:f>
              <c:strCache>
                <c:ptCount val="1"/>
                <c:pt idx="0">
                  <c:v>Refrigerants</c:v>
                </c:pt>
              </c:strCache>
            </c:strRef>
          </c:tx>
          <c:spPr>
            <a:solidFill>
              <a:schemeClr val="accent4">
                <a:lumMod val="60000"/>
              </a:schemeClr>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Benchmarking'!$L$10:$L$42</c15:sqref>
                  </c15:fullRef>
                </c:ext>
              </c:extLst>
              <c:f>'Building Totals &amp; Benchmarking'!$L$10:$L$24</c:f>
              <c:numCache>
                <c:formatCode>0.00</c:formatCode>
                <c:ptCount val="15"/>
                <c:pt idx="0">
                  <c:v>0</c:v>
                </c:pt>
                <c:pt idx="1">
                  <c:v>0</c:v>
                </c:pt>
                <c:pt idx="2">
                  <c:v>0</c:v>
                </c:pt>
                <c:pt idx="3">
                  <c:v>1380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9-F451-40BC-A203-D4BE8E70A56C}"/>
            </c:ext>
          </c:extLst>
        </c:ser>
        <c:ser>
          <c:idx val="10"/>
          <c:order val="10"/>
          <c:tx>
            <c:strRef>
              <c:f>'Building Totals &amp; Benchmarking'!$N$9</c:f>
              <c:strCache>
                <c:ptCount val="1"/>
                <c:pt idx="0">
                  <c:v>Waste</c:v>
                </c:pt>
              </c:strCache>
            </c:strRef>
          </c:tx>
          <c:spPr>
            <a:solidFill>
              <a:schemeClr val="accent5">
                <a:lumMod val="60000"/>
              </a:schemeClr>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Benchmarking'!$N$10:$N$42</c15:sqref>
                  </c15:fullRef>
                </c:ext>
              </c:extLst>
              <c:f>'Building Totals &amp; Benchmarking'!$N$10:$N$24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A-F451-40BC-A203-D4BE8E70A56C}"/>
            </c:ext>
          </c:extLst>
        </c:ser>
        <c:ser>
          <c:idx val="12"/>
          <c:order val="11"/>
          <c:tx>
            <c:strRef>
              <c:f>'Building Totals &amp; Benchmarking'!$O$9</c:f>
              <c:strCache>
                <c:ptCount val="1"/>
                <c:pt idx="0">
                  <c:v>Inhalers</c:v>
                </c:pt>
              </c:strCache>
            </c:strRef>
          </c:tx>
          <c:spPr>
            <a:solidFill>
              <a:schemeClr val="accent1">
                <a:lumMod val="80000"/>
                <a:lumOff val="20000"/>
              </a:schemeClr>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Benchmarking'!$O$10:$O$42</c15:sqref>
                  </c15:fullRef>
                </c:ext>
              </c:extLst>
              <c:f>'Building Totals &amp; Benchmarking'!$O$10:$O$24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C-F451-40BC-A203-D4BE8E70A56C}"/>
            </c:ext>
          </c:extLst>
        </c:ser>
        <c:ser>
          <c:idx val="13"/>
          <c:order val="12"/>
          <c:tx>
            <c:strRef>
              <c:f>'Building Totals &amp; Benchmarking'!$G$9</c:f>
              <c:strCache>
                <c:ptCount val="1"/>
                <c:pt idx="0">
                  <c:v>Heat networks</c:v>
                </c:pt>
              </c:strCache>
            </c:strRef>
          </c:tx>
          <c:spPr>
            <a:solidFill>
              <a:schemeClr val="accent2">
                <a:lumMod val="80000"/>
                <a:lumOff val="20000"/>
              </a:schemeClr>
            </a:solidFill>
            <a:ln>
              <a:noFill/>
            </a:ln>
            <a:effectLst/>
          </c:spPr>
          <c:invertIfNegative val="0"/>
          <c:cat>
            <c:strLit>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'Building Totals &amp; Benchmarking'!$G$10:$G$42</c15:sqref>
                  </c15:fullRef>
                </c:ext>
              </c:extLst>
              <c:f>'Building Totals &amp; Benchmarking'!$G$10:$G$24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A0B6-4274-BDDC-47B9498ECEAA}"/>
            </c:ext>
          </c:extLst>
        </c:ser>
        <c:dLbls>
          <c:showLegendKey val="0"/>
          <c:showVal val="0"/>
          <c:showCatName val="0"/>
          <c:showSerName val="0"/>
          <c:showPercent val="0"/>
          <c:showBubbleSize val="0"/>
        </c:dLbls>
        <c:gapWidth val="55"/>
        <c:overlap val="100"/>
        <c:axId val="2022630688"/>
        <c:axId val="2022627360"/>
        <c:extLst>
          <c:ext xmlns:c15="http://schemas.microsoft.com/office/drawing/2012/chart" uri="{02D57815-91ED-43cb-92C2-25804820EDAC}">
            <c15:filteredBarSeries>
              <c15:ser>
                <c:idx val="3"/>
                <c:order val="3"/>
                <c:tx>
                  <c:strRef>
                    <c:extLst>
                      <c:ext uri="{02D57815-91ED-43cb-92C2-25804820EDAC}">
                        <c15:formulaRef>
                          <c15:sqref>'Building Totals &amp; Benchmarking'!$E$9</c15:sqref>
                        </c15:formulaRef>
                      </c:ext>
                    </c:extLst>
                    <c:strCache>
                      <c:ptCount val="1"/>
                      <c:pt idx="0">
                        <c:v>Solid fuel</c:v>
                      </c:pt>
                    </c:strCache>
                  </c:strRef>
                </c:tx>
                <c:spPr>
                  <a:solidFill>
                    <a:schemeClr val="accent4"/>
                  </a:solidFill>
                  <a:ln>
                    <a:noFill/>
                  </a:ln>
                  <a:effectLst/>
                </c:spPr>
                <c:invertIfNegative val="0"/>
                <c:cat>
                  <c:strRef>
                    <c:extLst>
                      <c:ext uri="{02D57815-91ED-43cb-92C2-25804820EDAC}">
                        <c15:fullRef>
                          <c15:sqref>'Building Totals &amp; Benchmarking'!$A$10:$A$42</c15:sqref>
                        </c15:fullRef>
                        <c15:formulaRef>
                          <c15:sqref>'Building Totals &amp; Benchmarking'!$A$10:$A$24</c15:sqref>
                        </c15:formulaRef>
                      </c:ext>
                    </c:extLst>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uri="{02D57815-91ED-43cb-92C2-25804820EDAC}">
                        <c15:fullRef>
                          <c15:sqref>'Building Totals &amp; Benchmarking'!$E$10:$E$42</c15:sqref>
                        </c15:fullRef>
                        <c15:formulaRef>
                          <c15:sqref>'Building Totals &amp; Benchmarking'!$E$10:$E$24</c15:sqref>
                        </c15:formulaRef>
                      </c:ext>
                    </c:extLst>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3-F451-40BC-A203-D4BE8E70A56C}"/>
                  </c:ext>
                </c:extLst>
              </c15:ser>
            </c15:filteredBarSeries>
          </c:ext>
        </c:extLst>
      </c:barChart>
      <c:catAx>
        <c:axId val="20226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22627360"/>
        <c:crosses val="autoZero"/>
        <c:auto val="1"/>
        <c:lblAlgn val="ctr"/>
        <c:lblOffset val="100"/>
        <c:noMultiLvlLbl val="0"/>
      </c:catAx>
      <c:valAx>
        <c:axId val="20226273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22630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Spend on carbon intensive resources by site/building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'Building Totals &amp; Benchmarking'!$B$46</c:f>
              <c:strCache>
                <c:ptCount val="1"/>
                <c:pt idx="0">
                  <c:v>Grid Electricity</c:v>
                </c:pt>
              </c:strCache>
            </c:strRef>
          </c:tx>
          <c:spPr>
            <a:solidFill>
              <a:schemeClr val="accent1"/>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Benchmarking'!$B$47:$B$79</c15:sqref>
                  </c15:fullRef>
                </c:ext>
              </c:extLst>
              <c:f>'Building Totals &amp; Benchmarking'!$B$47:$B$61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0-3666-4FE5-A7DC-ECABF153B6B9}"/>
            </c:ext>
          </c:extLst>
        </c:ser>
        <c:ser>
          <c:idx val="1"/>
          <c:order val="1"/>
          <c:tx>
            <c:strRef>
              <c:f>'Building Totals &amp; Benchmarking'!$C$46</c:f>
              <c:strCache>
                <c:ptCount val="1"/>
                <c:pt idx="0">
                  <c:v>Grid gas</c:v>
                </c:pt>
              </c:strCache>
            </c:strRef>
          </c:tx>
          <c:spPr>
            <a:solidFill>
              <a:schemeClr val="accent2"/>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Benchmarking'!$C$47:$C$79</c15:sqref>
                  </c15:fullRef>
                </c:ext>
              </c:extLst>
              <c:f>'Building Totals &amp; Benchmarking'!$C$47:$C$61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3666-4FE5-A7DC-ECABF153B6B9}"/>
            </c:ext>
          </c:extLst>
        </c:ser>
        <c:ser>
          <c:idx val="2"/>
          <c:order val="2"/>
          <c:tx>
            <c:strRef>
              <c:f>'Building Totals &amp; Benchmarking'!$D$46</c:f>
              <c:strCache>
                <c:ptCount val="1"/>
                <c:pt idx="0">
                  <c:v>Bottled gas</c:v>
                </c:pt>
              </c:strCache>
            </c:strRef>
          </c:tx>
          <c:spPr>
            <a:solidFill>
              <a:schemeClr val="accent3"/>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Benchmarking'!$D$47:$D$79</c15:sqref>
                  </c15:fullRef>
                </c:ext>
              </c:extLst>
              <c:f>'Building Totals &amp; Benchmarking'!$D$47:$D$61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2-3666-4FE5-A7DC-ECABF153B6B9}"/>
            </c:ext>
          </c:extLst>
        </c:ser>
        <c:ser>
          <c:idx val="3"/>
          <c:order val="3"/>
          <c:tx>
            <c:strRef>
              <c:f>'Building Totals &amp; Benchmarking'!$E$46</c:f>
              <c:strCache>
                <c:ptCount val="1"/>
                <c:pt idx="0">
                  <c:v>Solid fuel</c:v>
                </c:pt>
              </c:strCache>
            </c:strRef>
          </c:tx>
          <c:spPr>
            <a:solidFill>
              <a:schemeClr val="accent4"/>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Benchmarking'!$E$47:$E$79</c15:sqref>
                  </c15:fullRef>
                </c:ext>
              </c:extLst>
              <c:f>'Building Totals &amp; Benchmarking'!$E$47:$E$61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3-3666-4FE5-A7DC-ECABF153B6B9}"/>
            </c:ext>
          </c:extLst>
        </c:ser>
        <c:ser>
          <c:idx val="4"/>
          <c:order val="4"/>
          <c:tx>
            <c:strRef>
              <c:f>'Building Totals &amp; Benchmarking'!$F$46</c:f>
              <c:strCache>
                <c:ptCount val="1"/>
                <c:pt idx="0">
                  <c:v>Liquid fuel</c:v>
                </c:pt>
              </c:strCache>
            </c:strRef>
          </c:tx>
          <c:spPr>
            <a:solidFill>
              <a:schemeClr val="accent5"/>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Benchmarking'!$F$47:$F$79</c15:sqref>
                  </c15:fullRef>
                </c:ext>
              </c:extLst>
              <c:f>'Building Totals &amp; Benchmarking'!$F$47:$F$61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4-3666-4FE5-A7DC-ECABF153B6B9}"/>
            </c:ext>
          </c:extLst>
        </c:ser>
        <c:ser>
          <c:idx val="5"/>
          <c:order val="5"/>
          <c:tx>
            <c:strRef>
              <c:f>'Building Totals &amp; Benchmarking'!$H$46</c:f>
              <c:strCache>
                <c:ptCount val="1"/>
                <c:pt idx="0">
                  <c:v>Vehicle Fuel</c:v>
                </c:pt>
              </c:strCache>
            </c:strRef>
          </c:tx>
          <c:spPr>
            <a:solidFill>
              <a:schemeClr val="accent6"/>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Benchmarking'!$H$47:$H$79</c15:sqref>
                  </c15:fullRef>
                </c:ext>
              </c:extLst>
              <c:f>'Building Totals &amp; Benchmarking'!$H$47:$H$61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5-3666-4FE5-A7DC-ECABF153B6B9}"/>
            </c:ext>
          </c:extLst>
        </c:ser>
        <c:ser>
          <c:idx val="6"/>
          <c:order val="6"/>
          <c:tx>
            <c:strRef>
              <c:f>'Building Totals &amp; Benchmarking'!$K$46</c:f>
              <c:strCache>
                <c:ptCount val="1"/>
                <c:pt idx="0">
                  <c:v>Anaesthetic gases</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Benchmarking'!$K$47:$K$79</c15:sqref>
                  </c15:fullRef>
                </c:ext>
              </c:extLst>
              <c:f>'Building Totals &amp; Benchmarking'!$K$47:$K$61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6-3666-4FE5-A7DC-ECABF153B6B9}"/>
            </c:ext>
          </c:extLst>
        </c:ser>
        <c:ser>
          <c:idx val="7"/>
          <c:order val="7"/>
          <c:tx>
            <c:strRef>
              <c:f>'Building Totals &amp; Benchmarking'!$L$46</c:f>
              <c:strCache>
                <c:ptCount val="1"/>
                <c:pt idx="0">
                  <c:v>Refrigerants</c:v>
                </c:pt>
              </c:strCache>
            </c:strRef>
          </c:tx>
          <c:spPr>
            <a:solidFill>
              <a:schemeClr val="accent2">
                <a:lumMod val="60000"/>
              </a:schemeClr>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Benchmarking'!$L$47:$L$79</c15:sqref>
                  </c15:fullRef>
                </c:ext>
              </c:extLst>
              <c:f>'Building Totals &amp; Benchmarking'!$L$47:$L$61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7-3666-4FE5-A7DC-ECABF153B6B9}"/>
            </c:ext>
          </c:extLst>
        </c:ser>
        <c:ser>
          <c:idx val="8"/>
          <c:order val="8"/>
          <c:tx>
            <c:strRef>
              <c:f>'Building Totals &amp; Benchmarking'!$M$46</c:f>
              <c:strCache>
                <c:ptCount val="1"/>
                <c:pt idx="0">
                  <c:v>Water</c:v>
                </c:pt>
              </c:strCache>
            </c:strRef>
          </c:tx>
          <c:spPr>
            <a:solidFill>
              <a:schemeClr val="accent3">
                <a:lumMod val="60000"/>
              </a:schemeClr>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Benchmarking'!$M$47:$M$79</c15:sqref>
                  </c15:fullRef>
                </c:ext>
              </c:extLst>
              <c:f>'Building Totals &amp; Benchmarking'!$M$47:$M$61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8-3666-4FE5-A7DC-ECABF153B6B9}"/>
            </c:ext>
          </c:extLst>
        </c:ser>
        <c:ser>
          <c:idx val="9"/>
          <c:order val="9"/>
          <c:tx>
            <c:strRef>
              <c:f>'Building Totals &amp; Benchmarking'!$N$46</c:f>
              <c:strCache>
                <c:ptCount val="1"/>
                <c:pt idx="0">
                  <c:v>Waste</c:v>
                </c:pt>
              </c:strCache>
            </c:strRef>
          </c:tx>
          <c:spPr>
            <a:solidFill>
              <a:schemeClr val="accent4">
                <a:lumMod val="60000"/>
              </a:schemeClr>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Benchmarking'!$N$47:$N$79</c15:sqref>
                  </c15:fullRef>
                </c:ext>
              </c:extLst>
              <c:f>'Building Totals &amp; Benchmarking'!$N$47:$N$61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9-3666-4FE5-A7DC-ECABF153B6B9}"/>
            </c:ext>
          </c:extLst>
        </c:ser>
        <c:ser>
          <c:idx val="10"/>
          <c:order val="10"/>
          <c:tx>
            <c:strRef>
              <c:f>'Building Totals &amp; Benchmarking'!$G$46</c:f>
              <c:strCache>
                <c:ptCount val="1"/>
                <c:pt idx="0">
                  <c:v>Heat networks</c:v>
                </c:pt>
              </c:strCache>
            </c:strRef>
          </c:tx>
          <c:spPr>
            <a:solidFill>
              <a:schemeClr val="accent5">
                <a:lumMod val="60000"/>
              </a:schemeClr>
            </a:solidFill>
            <a:ln>
              <a:noFill/>
            </a:ln>
            <a:effectLst/>
          </c:spPr>
          <c:invertIfNegative val="0"/>
          <c:cat>
            <c:strLit>
              <c:ptCount val="15"/>
              <c:pt idx="0">
                <c:v>Several sites</c:v>
              </c:pt>
              <c:pt idx="1">
                <c:v>Across all sites</c:v>
              </c:pt>
              <c:pt idx="2">
                <c:v>Not linked to a site</c:v>
              </c:pt>
              <c:pt idx="3">
                <c:v>Laudium</c:v>
              </c:pt>
              <c:pt idx="4">
                <c:v>Stanza</c:v>
              </c:pt>
              <c:pt idx="5">
                <c:v>0</c:v>
              </c:pt>
              <c:pt idx="6">
                <c:v>0</c:v>
              </c:pt>
              <c:pt idx="7">
                <c:v>0</c:v>
              </c:pt>
              <c:pt idx="8">
                <c:v>0</c:v>
              </c:pt>
              <c:pt idx="9">
                <c:v>0</c:v>
              </c:pt>
              <c:pt idx="10">
                <c:v>0</c:v>
              </c:pt>
              <c:pt idx="11">
                <c:v>0</c:v>
              </c:pt>
              <c:pt idx="12">
                <c:v>0</c:v>
              </c:pt>
              <c:pt idx="13">
                <c:v>0</c:v>
              </c:pt>
              <c:pt idx="14">
                <c:v>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'Building Totals &amp; Benchmarking'!$G$47:$G$79</c15:sqref>
                  </c15:fullRef>
                </c:ext>
              </c:extLst>
              <c:f>'Building Totals &amp; Benchmarking'!$G$47:$G$61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B15E-47AF-AFD9-8FE21CA26F00}"/>
            </c:ext>
          </c:extLst>
        </c:ser>
        <c:dLbls>
          <c:showLegendKey val="0"/>
          <c:showVal val="0"/>
          <c:showCatName val="0"/>
          <c:showSerName val="0"/>
          <c:showPercent val="0"/>
          <c:showBubbleSize val="0"/>
        </c:dLbls>
        <c:gapWidth val="55"/>
        <c:overlap val="100"/>
        <c:axId val="2022630688"/>
        <c:axId val="2022627360"/>
      </c:barChart>
      <c:catAx>
        <c:axId val="20226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22627360"/>
        <c:crosses val="autoZero"/>
        <c:auto val="1"/>
        <c:lblAlgn val="ctr"/>
        <c:lblOffset val="100"/>
        <c:noMultiLvlLbl val="0"/>
      </c:catAx>
      <c:valAx>
        <c:axId val="20226273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22630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Emissions hotspots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GB"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Emissions hotspots</a:t>
          </a:r>
        </a:p>
      </cx:txPr>
    </cx:title>
    <cx:plotArea>
      <cx:plotAreaRegion>
        <cx:series layoutId="clusteredColumn" uniqueId="{9C56C58E-C7C6-4CEA-9D14-BDF7863E59DC}">
          <cx:dataId val="0"/>
          <cx:layoutPr>
            <cx:aggregation/>
          </cx:layoutPr>
          <cx:axisId val="1"/>
        </cx:series>
        <cx:series layoutId="paretoLine" ownerIdx="0" uniqueId="{229359DD-7CF1-49B8-AB0F-A6DC29418FFE}">
          <cx:axisId val="2"/>
        </cx:series>
      </cx:plotAreaRegion>
      <cx:axis id="0">
        <cx:catScaling gapWidth="2.19000006"/>
        <cx:tickLabels/>
        <cx:txPr>
          <a:bodyPr spcFirstLastPara="1" vertOverflow="ellipsis" horzOverflow="overflow" wrap="square" lIns="0" tIns="0" rIns="0" bIns="0" anchor="ctr" anchorCtr="1"/>
          <a:lstStyle/>
          <a:p>
            <a:pPr algn="ctr" rtl="0">
              <a:defRPr/>
            </a:pPr>
            <a:endParaRPr lang="en-US" sz="900" b="0" i="0" u="none" strike="noStrike" kern="1200" baseline="0">
              <a:solidFill>
                <a:sysClr val="windowText" lastClr="000000">
                  <a:lumMod val="65000"/>
                  <a:lumOff val="35000"/>
                </a:sysClr>
              </a:solidFill>
              <a:latin typeface="Calibri" panose="020F0502020204030204"/>
            </a:endParaRPr>
          </a:p>
        </cx:txPr>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07/relationships/hdphoto" Target="../media/hdphoto1.wdp"/><Relationship Id="rId1" Type="http://schemas.openxmlformats.org/officeDocument/2006/relationships/image" Target="../media/image1.png"/><Relationship Id="rId4" Type="http://schemas.openxmlformats.org/officeDocument/2006/relationships/image" Target="../media/image3.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image" Target="../media/image6.jpe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jpg"/></Relationships>
</file>

<file path=xl/drawings/_rels/drawing8.xml.rels><?xml version="1.0" encoding="UTF-8" standalone="yes"?>
<Relationships xmlns="http://schemas.openxmlformats.org/package/2006/relationships"><Relationship Id="rId1" Type="http://schemas.openxmlformats.org/officeDocument/2006/relationships/image" Target="../media/image9.jpeg"/></Relationships>
</file>

<file path=xl/drawings/_rels/drawing9.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1675747</xdr:colOff>
      <xdr:row>0</xdr:row>
      <xdr:rowOff>48304</xdr:rowOff>
    </xdr:from>
    <xdr:to>
      <xdr:col>1</xdr:col>
      <xdr:colOff>906474</xdr:colOff>
      <xdr:row>0</xdr:row>
      <xdr:rowOff>817873</xdr:rowOff>
    </xdr:to>
    <xdr:pic>
      <xdr:nvPicPr>
        <xdr:cNvPr id="2" name="Picture 1">
          <a:extLst>
            <a:ext uri="{FF2B5EF4-FFF2-40B4-BE49-F238E27FC236}">
              <a16:creationId xmlns:a16="http://schemas.microsoft.com/office/drawing/2014/main" id="{5523B020-8A9A-CA44-AA1A-929590BDABF3}"/>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25000"/>
                  </a14:imgEffect>
                </a14:imgLayer>
              </a14:imgProps>
            </a:ext>
          </a:extLst>
        </a:blip>
        <a:stretch>
          <a:fillRect/>
        </a:stretch>
      </xdr:blipFill>
      <xdr:spPr>
        <a:xfrm>
          <a:off x="1675747" y="48304"/>
          <a:ext cx="1444156" cy="769569"/>
        </a:xfrm>
        <a:prstGeom prst="rect">
          <a:avLst/>
        </a:prstGeom>
      </xdr:spPr>
    </xdr:pic>
    <xdr:clientData/>
  </xdr:twoCellAnchor>
  <xdr:twoCellAnchor editAs="oneCell">
    <xdr:from>
      <xdr:col>1</xdr:col>
      <xdr:colOff>1360714</xdr:colOff>
      <xdr:row>0</xdr:row>
      <xdr:rowOff>81643</xdr:rowOff>
    </xdr:from>
    <xdr:to>
      <xdr:col>1</xdr:col>
      <xdr:colOff>2119558</xdr:colOff>
      <xdr:row>0</xdr:row>
      <xdr:rowOff>852043</xdr:rowOff>
    </xdr:to>
    <xdr:pic>
      <xdr:nvPicPr>
        <xdr:cNvPr id="4" name="Picture 3">
          <a:extLst>
            <a:ext uri="{FF2B5EF4-FFF2-40B4-BE49-F238E27FC236}">
              <a16:creationId xmlns:a16="http://schemas.microsoft.com/office/drawing/2014/main" id="{B39C4C78-9AE3-407E-9CF2-08487029321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74143" y="81643"/>
          <a:ext cx="758844" cy="770400"/>
        </a:xfrm>
        <a:prstGeom prst="rect">
          <a:avLst/>
        </a:prstGeom>
      </xdr:spPr>
    </xdr:pic>
    <xdr:clientData/>
  </xdr:twoCellAnchor>
  <xdr:twoCellAnchor editAs="oneCell">
    <xdr:from>
      <xdr:col>0</xdr:col>
      <xdr:colOff>0</xdr:colOff>
      <xdr:row>0</xdr:row>
      <xdr:rowOff>45357</xdr:rowOff>
    </xdr:from>
    <xdr:to>
      <xdr:col>0</xdr:col>
      <xdr:colOff>1549864</xdr:colOff>
      <xdr:row>0</xdr:row>
      <xdr:rowOff>815757</xdr:rowOff>
    </xdr:to>
    <xdr:pic>
      <xdr:nvPicPr>
        <xdr:cNvPr id="6" name="Picture 5">
          <a:extLst>
            <a:ext uri="{FF2B5EF4-FFF2-40B4-BE49-F238E27FC236}">
              <a16:creationId xmlns:a16="http://schemas.microsoft.com/office/drawing/2014/main" id="{CCE09645-D990-437E-9F68-56F07D38423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45357"/>
          <a:ext cx="1549864" cy="770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7145</xdr:colOff>
      <xdr:row>1</xdr:row>
      <xdr:rowOff>23813</xdr:rowOff>
    </xdr:from>
    <xdr:to>
      <xdr:col>29</xdr:col>
      <xdr:colOff>593911</xdr:colOff>
      <xdr:row>19</xdr:row>
      <xdr:rowOff>47625</xdr:rowOff>
    </xdr:to>
    <xdr:graphicFrame macro="">
      <xdr:nvGraphicFramePr>
        <xdr:cNvPr id="8" name="Chart 7">
          <a:extLst>
            <a:ext uri="{FF2B5EF4-FFF2-40B4-BE49-F238E27FC236}">
              <a16:creationId xmlns:a16="http://schemas.microsoft.com/office/drawing/2014/main" id="{08206D09-4352-4D39-9C62-D945CDAF3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1321593</xdr:colOff>
      <xdr:row>20</xdr:row>
      <xdr:rowOff>23813</xdr:rowOff>
    </xdr:from>
    <xdr:to>
      <xdr:col>29</xdr:col>
      <xdr:colOff>571499</xdr:colOff>
      <xdr:row>34</xdr:row>
      <xdr:rowOff>95250</xdr:rowOff>
    </xdr:to>
    <xdr:graphicFrame macro="">
      <xdr:nvGraphicFramePr>
        <xdr:cNvPr id="2" name="Chart 1">
          <a:extLst>
            <a:ext uri="{FF2B5EF4-FFF2-40B4-BE49-F238E27FC236}">
              <a16:creationId xmlns:a16="http://schemas.microsoft.com/office/drawing/2014/main" id="{2A4E1BE9-CE22-4F37-A8B9-0286D426A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22412</xdr:colOff>
      <xdr:row>31</xdr:row>
      <xdr:rowOff>16807</xdr:rowOff>
    </xdr:from>
    <xdr:to>
      <xdr:col>7</xdr:col>
      <xdr:colOff>22411</xdr:colOff>
      <xdr:row>34</xdr:row>
      <xdr:rowOff>455239</xdr:rowOff>
    </xdr:to>
    <xdr:graphicFrame macro="">
      <xdr:nvGraphicFramePr>
        <xdr:cNvPr id="4" name="Chart 3">
          <a:extLst>
            <a:ext uri="{FF2B5EF4-FFF2-40B4-BE49-F238E27FC236}">
              <a16:creationId xmlns:a16="http://schemas.microsoft.com/office/drawing/2014/main" id="{FD9058C4-701C-4649-9566-28CF437AA8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12</xdr:row>
      <xdr:rowOff>38099</xdr:rowOff>
    </xdr:from>
    <xdr:to>
      <xdr:col>10</xdr:col>
      <xdr:colOff>15875</xdr:colOff>
      <xdr:row>38</xdr:row>
      <xdr:rowOff>174626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801A625-29DC-48F0-9809-5463C49776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343900" y="7858124"/>
              <a:ext cx="8455025" cy="5045077"/>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79375</xdr:colOff>
      <xdr:row>3</xdr:row>
      <xdr:rowOff>15875</xdr:rowOff>
    </xdr:from>
    <xdr:to>
      <xdr:col>0</xdr:col>
      <xdr:colOff>1905000</xdr:colOff>
      <xdr:row>8</xdr:row>
      <xdr:rowOff>444500</xdr:rowOff>
    </xdr:to>
    <xdr:sp macro="" textlink="">
      <xdr:nvSpPr>
        <xdr:cNvPr id="4" name="Arrow: Down 3">
          <a:extLst>
            <a:ext uri="{FF2B5EF4-FFF2-40B4-BE49-F238E27FC236}">
              <a16:creationId xmlns:a16="http://schemas.microsoft.com/office/drawing/2014/main" id="{B84A510D-AEDE-4BE8-8DE1-5A66AFC6B719}"/>
            </a:ext>
          </a:extLst>
        </xdr:cNvPr>
        <xdr:cNvSpPr/>
      </xdr:nvSpPr>
      <xdr:spPr>
        <a:xfrm>
          <a:off x="79375" y="2079625"/>
          <a:ext cx="1825625" cy="4826000"/>
        </a:xfrm>
        <a:prstGeom prst="downArrow">
          <a:avLst/>
        </a:prstGeom>
        <a:gradFill>
          <a:gsLst>
            <a:gs pos="0">
              <a:schemeClr val="accent1">
                <a:lumMod val="5000"/>
                <a:lumOff val="95000"/>
              </a:schemeClr>
            </a:gs>
            <a:gs pos="33000">
              <a:schemeClr val="accent5">
                <a:lumMod val="20000"/>
                <a:lumOff val="80000"/>
              </a:schemeClr>
            </a:gs>
            <a:gs pos="67000">
              <a:schemeClr val="accent5">
                <a:lumMod val="60000"/>
                <a:lumOff val="40000"/>
              </a:schemeClr>
            </a:gs>
            <a:gs pos="100000">
              <a:srgbClr val="0070C0"/>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baseline="0">
              <a:solidFill>
                <a:sysClr val="windowText" lastClr="000000"/>
              </a:solidFill>
            </a:rPr>
            <a:t>Low </a:t>
          </a:r>
          <a:r>
            <a:rPr lang="en-GB" sz="1400" b="1">
              <a:solidFill>
                <a:sysClr val="windowText" lastClr="000000"/>
              </a:solidFill>
            </a:rPr>
            <a:t>data quality</a:t>
          </a: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r>
            <a:rPr lang="en-GB" sz="1400" b="1">
              <a:solidFill>
                <a:sysClr val="windowText" lastClr="000000"/>
              </a:solidFill>
            </a:rPr>
            <a:t>High data quality</a:t>
          </a:r>
        </a:p>
        <a:p>
          <a:pPr algn="l"/>
          <a:endParaRPr lang="en-GB" sz="1400" b="1">
            <a:solidFill>
              <a:sysClr val="windowText" lastClr="000000"/>
            </a:solidFill>
          </a:endParaRPr>
        </a:p>
        <a:p>
          <a:pPr algn="l"/>
          <a:endParaRPr lang="en-GB" sz="1400" b="1">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9522</xdr:colOff>
      <xdr:row>81</xdr:row>
      <xdr:rowOff>195262</xdr:rowOff>
    </xdr:from>
    <xdr:to>
      <xdr:col>33</xdr:col>
      <xdr:colOff>0</xdr:colOff>
      <xdr:row>118</xdr:row>
      <xdr:rowOff>11906</xdr:rowOff>
    </xdr:to>
    <xdr:graphicFrame macro="">
      <xdr:nvGraphicFramePr>
        <xdr:cNvPr id="2" name="Chart 1">
          <a:extLst>
            <a:ext uri="{FF2B5EF4-FFF2-40B4-BE49-F238E27FC236}">
              <a16:creationId xmlns:a16="http://schemas.microsoft.com/office/drawing/2014/main" id="{A3B6B85C-A0EB-4358-AC32-5E88F36A43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119</xdr:row>
      <xdr:rowOff>190500</xdr:rowOff>
    </xdr:from>
    <xdr:to>
      <xdr:col>33</xdr:col>
      <xdr:colOff>0</xdr:colOff>
      <xdr:row>156</xdr:row>
      <xdr:rowOff>0</xdr:rowOff>
    </xdr:to>
    <xdr:graphicFrame macro="">
      <xdr:nvGraphicFramePr>
        <xdr:cNvPr id="11" name="Chart 10">
          <a:extLst>
            <a:ext uri="{FF2B5EF4-FFF2-40B4-BE49-F238E27FC236}">
              <a16:creationId xmlns:a16="http://schemas.microsoft.com/office/drawing/2014/main" id="{AAB16305-FFAF-4252-B555-32D2B94500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27214</xdr:colOff>
      <xdr:row>7</xdr:row>
      <xdr:rowOff>0</xdr:rowOff>
    </xdr:from>
    <xdr:to>
      <xdr:col>32</xdr:col>
      <xdr:colOff>585107</xdr:colOff>
      <xdr:row>43</xdr:row>
      <xdr:rowOff>0</xdr:rowOff>
    </xdr:to>
    <xdr:graphicFrame macro="">
      <xdr:nvGraphicFramePr>
        <xdr:cNvPr id="8" name="Chart 7">
          <a:extLst>
            <a:ext uri="{FF2B5EF4-FFF2-40B4-BE49-F238E27FC236}">
              <a16:creationId xmlns:a16="http://schemas.microsoft.com/office/drawing/2014/main" id="{119B809C-278D-4C73-B127-E28732DD07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0</xdr:colOff>
      <xdr:row>44</xdr:row>
      <xdr:rowOff>19050</xdr:rowOff>
    </xdr:from>
    <xdr:to>
      <xdr:col>33</xdr:col>
      <xdr:colOff>0</xdr:colOff>
      <xdr:row>80</xdr:row>
      <xdr:rowOff>0</xdr:rowOff>
    </xdr:to>
    <xdr:graphicFrame macro="">
      <xdr:nvGraphicFramePr>
        <xdr:cNvPr id="9" name="Chart 8">
          <a:extLst>
            <a:ext uri="{FF2B5EF4-FFF2-40B4-BE49-F238E27FC236}">
              <a16:creationId xmlns:a16="http://schemas.microsoft.com/office/drawing/2014/main" id="{8157707C-5C3F-447B-A912-61E15C6252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304800</xdr:colOff>
      <xdr:row>0</xdr:row>
      <xdr:rowOff>57150</xdr:rowOff>
    </xdr:from>
    <xdr:to>
      <xdr:col>22</xdr:col>
      <xdr:colOff>819150</xdr:colOff>
      <xdr:row>1</xdr:row>
      <xdr:rowOff>285750</xdr:rowOff>
    </xdr:to>
    <xdr:pic>
      <xdr:nvPicPr>
        <xdr:cNvPr id="4" name="Graphic 3" descr="Filter outline">
          <a:extLst>
            <a:ext uri="{FF2B5EF4-FFF2-40B4-BE49-F238E27FC236}">
              <a16:creationId xmlns:a16="http://schemas.microsoft.com/office/drawing/2014/main" id="{109B9594-A676-444B-BD9A-64DC48442529}"/>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 uri="{96DAC541-7B7A-43D3-8B79-37D633B846F1}">
              <asvg:svgBlip xmlns:asvg="http://schemas.microsoft.com/office/drawing/2016/SVG/main" r:embed="rId6"/>
            </a:ext>
          </a:extLst>
        </a:blip>
        <a:stretch>
          <a:fillRect/>
        </a:stretch>
      </xdr:blipFill>
      <xdr:spPr>
        <a:xfrm>
          <a:off x="22802850" y="57150"/>
          <a:ext cx="514350" cy="514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8659</xdr:colOff>
      <xdr:row>5</xdr:row>
      <xdr:rowOff>25977</xdr:rowOff>
    </xdr:from>
    <xdr:to>
      <xdr:col>8</xdr:col>
      <xdr:colOff>1731</xdr:colOff>
      <xdr:row>7</xdr:row>
      <xdr:rowOff>315658</xdr:rowOff>
    </xdr:to>
    <xdr:pic>
      <xdr:nvPicPr>
        <xdr:cNvPr id="5" name="Picture 4" descr="commercial solar power plant in india: How to build a commercial solar  power plant in India? - The Economic Times">
          <a:extLst>
            <a:ext uri="{FF2B5EF4-FFF2-40B4-BE49-F238E27FC236}">
              <a16:creationId xmlns:a16="http://schemas.microsoft.com/office/drawing/2014/main" id="{9A77161B-0080-4940-9555-8983AEA6BBDF}"/>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4555932" y="1004454"/>
          <a:ext cx="1288472" cy="11752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42858</xdr:colOff>
      <xdr:row>4</xdr:row>
      <xdr:rowOff>142874</xdr:rowOff>
    </xdr:from>
    <xdr:to>
      <xdr:col>12</xdr:col>
      <xdr:colOff>1761459</xdr:colOff>
      <xdr:row>7</xdr:row>
      <xdr:rowOff>83343</xdr:rowOff>
    </xdr:to>
    <xdr:pic>
      <xdr:nvPicPr>
        <xdr:cNvPr id="3" name="Picture 2">
          <a:extLst>
            <a:ext uri="{FF2B5EF4-FFF2-40B4-BE49-F238E27FC236}">
              <a16:creationId xmlns:a16="http://schemas.microsoft.com/office/drawing/2014/main" id="{E3EA7F55-E808-420A-92BD-B9DBD105C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687171" y="2226468"/>
          <a:ext cx="8695663" cy="2678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273845</xdr:colOff>
      <xdr:row>1</xdr:row>
      <xdr:rowOff>7272</xdr:rowOff>
    </xdr:from>
    <xdr:to>
      <xdr:col>8</xdr:col>
      <xdr:colOff>1575041</xdr:colOff>
      <xdr:row>7</xdr:row>
      <xdr:rowOff>634814</xdr:rowOff>
    </xdr:to>
    <xdr:pic>
      <xdr:nvPicPr>
        <xdr:cNvPr id="7" name="Picture 6">
          <a:extLst>
            <a:ext uri="{FF2B5EF4-FFF2-40B4-BE49-F238E27FC236}">
              <a16:creationId xmlns:a16="http://schemas.microsoft.com/office/drawing/2014/main" id="{A634B69F-73D3-4AA1-BBB6-DCAA5CB9EF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11287126" y="209678"/>
          <a:ext cx="6861414" cy="452088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419100</xdr:colOff>
      <xdr:row>1</xdr:row>
      <xdr:rowOff>552451</xdr:rowOff>
    </xdr:from>
    <xdr:to>
      <xdr:col>8</xdr:col>
      <xdr:colOff>688076</xdr:colOff>
      <xdr:row>10</xdr:row>
      <xdr:rowOff>90488</xdr:rowOff>
    </xdr:to>
    <xdr:pic>
      <xdr:nvPicPr>
        <xdr:cNvPr id="5" name="Picture 4" descr="Waste-Hierarchy-Step-Up-&amp;-Go-Green">
          <a:extLst>
            <a:ext uri="{FF2B5EF4-FFF2-40B4-BE49-F238E27FC236}">
              <a16:creationId xmlns:a16="http://schemas.microsoft.com/office/drawing/2014/main" id="{2E974D20-A48D-4259-839F-338122D27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10900" y="762001"/>
          <a:ext cx="4631426"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1641362</xdr:colOff>
      <xdr:row>0</xdr:row>
      <xdr:rowOff>47341</xdr:rowOff>
    </xdr:from>
    <xdr:to>
      <xdr:col>6</xdr:col>
      <xdr:colOff>945818</xdr:colOff>
      <xdr:row>2</xdr:row>
      <xdr:rowOff>273256</xdr:rowOff>
    </xdr:to>
    <xdr:pic>
      <xdr:nvPicPr>
        <xdr:cNvPr id="10" name="Picture 9">
          <a:extLst>
            <a:ext uri="{FF2B5EF4-FFF2-40B4-BE49-F238E27FC236}">
              <a16:creationId xmlns:a16="http://schemas.microsoft.com/office/drawing/2014/main" id="{62A739A8-EA76-4323-94C9-3DB23CC17A09}"/>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288951" y="47341"/>
          <a:ext cx="2161956" cy="1882785"/>
        </a:xfrm>
        <a:prstGeom prst="rect">
          <a:avLst/>
        </a:prstGeom>
      </xdr:spPr>
    </xdr:pic>
    <xdr:clientData/>
  </xdr:twoCellAnchor>
  <xdr:twoCellAnchor editAs="oneCell">
    <xdr:from>
      <xdr:col>5</xdr:col>
      <xdr:colOff>1029041</xdr:colOff>
      <xdr:row>3</xdr:row>
      <xdr:rowOff>29536</xdr:rowOff>
    </xdr:from>
    <xdr:to>
      <xdr:col>6</xdr:col>
      <xdr:colOff>1570698</xdr:colOff>
      <xdr:row>8</xdr:row>
      <xdr:rowOff>1879</xdr:rowOff>
    </xdr:to>
    <xdr:pic>
      <xdr:nvPicPr>
        <xdr:cNvPr id="14" name="Picture 13">
          <a:extLst>
            <a:ext uri="{FF2B5EF4-FFF2-40B4-BE49-F238E27FC236}">
              <a16:creationId xmlns:a16="http://schemas.microsoft.com/office/drawing/2014/main" id="{0627BE19-C57F-49DB-86BD-6C9E4863ED96}"/>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6630" y="2589380"/>
          <a:ext cx="3399157" cy="2064441"/>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1zah1nkiby91r.cloudfront.net/s3fs-public/guide_to_the_aga_khan_development_networks_carbon_management_tool_.pdf" TargetMode="External"/><Relationship Id="rId1" Type="http://schemas.openxmlformats.org/officeDocument/2006/relationships/hyperlink" Target="mailto:healthcarbonfootprint@akdn.org"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pvwatts.nrel.gov/pvwatts.php"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documents1.worldbank.org/curated/en/141851468168853188/pdf/WPS6471.pdf" TargetMode="External"/><Relationship Id="rId1" Type="http://schemas.openxmlformats.org/officeDocument/2006/relationships/hyperlink" Target="https://www.airmilescalculator.com/distance4/doh-to-lgw-alb-mdq/"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bjanaesthesia.org.uk/article/S0007-0912(19)30496-9/fulltex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epa.gov/sites/default/files/documents/RealZeroGuidetoGoodLeakTesting.pdf" TargetMode="External"/><Relationship Id="rId1" Type="http://schemas.openxmlformats.org/officeDocument/2006/relationships/hyperlink" Target="https://www.epa.gov/sites/default/files/documents/RealZeroGuidetoGoodLeakTesting.pdf" TargetMode="External"/><Relationship Id="rId4"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nature.com/articles/npre.2009.3407.1"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2.bin"/><Relationship Id="rId1" Type="http://schemas.openxmlformats.org/officeDocument/2006/relationships/hyperlink" Target="https://greeninhaler.org/"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3" Type="http://schemas.openxmlformats.org/officeDocument/2006/relationships/hyperlink" Target="https://assets.publishing.service.gov.uk/government/uploads/system/uploads/attachment_data/file/873572/Data_download_consumption_emissions_1997_2017.ods" TargetMode="External"/><Relationship Id="rId2" Type="http://schemas.openxmlformats.org/officeDocument/2006/relationships/hyperlink" Target="https://assets.publishing.service.gov.uk/government/uploads/system/uploads/attachment_data/file/404542/Table_13_Indirect_emissions_from_supply_chain_2007-2011.xls" TargetMode="External"/><Relationship Id="rId1" Type="http://schemas.openxmlformats.org/officeDocument/2006/relationships/hyperlink" Target="https://www.gov.uk/government/statistics/uks-carbon-footprint"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gov.uk/government/publications/greenhouse-gas-reporting-conversion-factors-2020" TargetMode="External"/><Relationship Id="rId13" Type="http://schemas.openxmlformats.org/officeDocument/2006/relationships/hyperlink" Target="https://www.iges.or.jp/en/pub/list-grid-emission-factor/en" TargetMode="External"/><Relationship Id="rId3" Type="http://schemas.openxmlformats.org/officeDocument/2006/relationships/hyperlink" Target="https://www.gov.uk/government/publications/greenhouse-gas-reporting-conversion-factors-2020" TargetMode="External"/><Relationship Id="rId7" Type="http://schemas.openxmlformats.org/officeDocument/2006/relationships/hyperlink" Target="https://www.gov.uk/government/publications/greenhouse-gas-reporting-conversion-factors-2020" TargetMode="External"/><Relationship Id="rId12" Type="http://schemas.openxmlformats.org/officeDocument/2006/relationships/hyperlink" Target="https://www.iges.or.jp/en/pub/list-grid-emission-factor/en" TargetMode="External"/><Relationship Id="rId17" Type="http://schemas.openxmlformats.org/officeDocument/2006/relationships/comments" Target="../comments1.xml"/><Relationship Id="rId2" Type="http://schemas.openxmlformats.org/officeDocument/2006/relationships/hyperlink" Target="https://www.gov.uk/government/publications/greenhouse-gas-reporting-conversion-factors-2020" TargetMode="External"/><Relationship Id="rId16" Type="http://schemas.openxmlformats.org/officeDocument/2006/relationships/vmlDrawing" Target="../drawings/vmlDrawing1.vml"/><Relationship Id="rId1" Type="http://schemas.openxmlformats.org/officeDocument/2006/relationships/hyperlink" Target="https://www.gov.uk/government/publications/greenhouse-gas-reporting-conversion-factors-2020" TargetMode="External"/><Relationship Id="rId6" Type="http://schemas.openxmlformats.org/officeDocument/2006/relationships/hyperlink" Target="https://www.gov.uk/government/publications/greenhouse-gas-reporting-conversion-factors-2020" TargetMode="External"/><Relationship Id="rId11" Type="http://schemas.openxmlformats.org/officeDocument/2006/relationships/hyperlink" Target="https://www.iges.or.jp/en/pub/list-grid-emission-factor/en" TargetMode="External"/><Relationship Id="rId5" Type="http://schemas.openxmlformats.org/officeDocument/2006/relationships/hyperlink" Target="https://www.gov.uk/government/publications/greenhouse-gas-reporting-conversion-factors-2020" TargetMode="External"/><Relationship Id="rId15" Type="http://schemas.openxmlformats.org/officeDocument/2006/relationships/hyperlink" Target="https://www.iges.or.jp/en/pub/list-grid-emission-factor/en" TargetMode="External"/><Relationship Id="rId10" Type="http://schemas.openxmlformats.org/officeDocument/2006/relationships/hyperlink" Target="https://www.iges.or.jp/en/pub/list-grid-emission-factor/en" TargetMode="External"/><Relationship Id="rId4" Type="http://schemas.openxmlformats.org/officeDocument/2006/relationships/hyperlink" Target="https://www.gov.uk/government/publications/greenhouse-gas-reporting-conversion-factors-2020" TargetMode="External"/><Relationship Id="rId9" Type="http://schemas.openxmlformats.org/officeDocument/2006/relationships/hyperlink" Target="https://www.gov.uk/government/publications/greenhouse-gas-reporting-conversion-factors-2020" TargetMode="External"/><Relationship Id="rId14" Type="http://schemas.openxmlformats.org/officeDocument/2006/relationships/hyperlink" Target="https://www.iges.or.jp/en/pub/list-grid-emission-factor/en"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en.wikipedia.org/wiki/Fuel_oil" TargetMode="External"/><Relationship Id="rId1" Type="http://schemas.openxmlformats.org/officeDocument/2006/relationships/hyperlink" Target="https://en.wikipedia.org/wiki/Heating_oil"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bjanaesthesia.org/article/S0007-0912(17)39431-X/pdf" TargetMode="External"/><Relationship Id="rId2" Type="http://schemas.openxmlformats.org/officeDocument/2006/relationships/hyperlink" Target="https://www.ncbi.nlm.nih.gov/pmc/articles/PMC3522493/" TargetMode="External"/><Relationship Id="rId1" Type="http://schemas.openxmlformats.org/officeDocument/2006/relationships/hyperlink" Target="https://agupubs.onlinelibrary.wiley.com/doi/pdf/10.1002/2014GL062785"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ww.ghgprotocol.org/sites/default/files/ghgp/Global-Warming-Potential-Values%20%28Feb%2016%202016%29_1.pdf"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www.thelancet.com/journals/lanplh/article/PIIS2542-5196(20)30121-2/fulltext"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www.apple.com/environment/pdf/Apple_Environmental_Progress_Report_2021.pdf" TargetMode="External"/><Relationship Id="rId13" Type="http://schemas.openxmlformats.org/officeDocument/2006/relationships/hyperlink" Target="https://www.glenmarkpharma.com/sites/default/files/Glenmark-Sustainability-Report-FY-2019-20.pdf" TargetMode="External"/><Relationship Id="rId3" Type="http://schemas.openxmlformats.org/officeDocument/2006/relationships/hyperlink" Target="https://unfccc.int/sites/default/files/resource/Harmonized_Grid_Emission_factor_data_set.pdf" TargetMode="External"/><Relationship Id="rId7" Type="http://schemas.openxmlformats.org/officeDocument/2006/relationships/hyperlink" Target="https://www8.hp.com/h20195/v2/GetPDF.aspx/c06601778.pdf" TargetMode="External"/><Relationship Id="rId12" Type="http://schemas.openxmlformats.org/officeDocument/2006/relationships/hyperlink" Target="https://www.cummins.com/sites/default/files/2021-06/2020-21_cummins_sustainability_report.pdf" TargetMode="External"/><Relationship Id="rId2" Type="http://schemas.openxmlformats.org/officeDocument/2006/relationships/hyperlink" Target="https://www.gov.uk/government/statistics/uks-carbon-footprint" TargetMode="External"/><Relationship Id="rId1" Type="http://schemas.openxmlformats.org/officeDocument/2006/relationships/hyperlink" Target="https://www.gov.uk/government/publications/greenhouse-gas-reporting-conversion-factors-2020" TargetMode="External"/><Relationship Id="rId6" Type="http://schemas.openxmlformats.org/officeDocument/2006/relationships/hyperlink" Target="https://dam.abbott.com/en-us/documents/pdfs/abbott-citizenship/2017-Global-Metrics-Report.pdf." TargetMode="External"/><Relationship Id="rId11" Type="http://schemas.openxmlformats.org/officeDocument/2006/relationships/hyperlink" Target="https://download.schneider-electric.com/files?p_Doc_Ref=Carbon_Pledge_EN" TargetMode="External"/><Relationship Id="rId5" Type="http://schemas.openxmlformats.org/officeDocument/2006/relationships/hyperlink" Target="https://www.gsk.com/media/6662/annual-report-2020.pdf" TargetMode="External"/><Relationship Id="rId10" Type="http://schemas.openxmlformats.org/officeDocument/2006/relationships/hyperlink" Target="https://assets.unilever.com/files/92ui5egz/production/e665693f2bd2efbbde5658baf84043df7937cfd7.pdf/annual-report-and-accounts-2020.pdf" TargetMode="External"/><Relationship Id="rId4" Type="http://schemas.openxmlformats.org/officeDocument/2006/relationships/hyperlink" Target="https://www.eea.europa.eu/data-and-maps/daviz/co2-emission-intensity-9/" TargetMode="External"/><Relationship Id="rId9" Type="http://schemas.openxmlformats.org/officeDocument/2006/relationships/hyperlink" Target="https://www.roche.com/dam/jcr:4c76f641-c532-4b67-98c4-871f909ebd43/en/ar20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AC2DA-6169-456F-A6F7-E554FAA256D1}">
  <sheetPr codeName="Sheet1">
    <tabColor rgb="FF00B050"/>
  </sheetPr>
  <dimension ref="A1:N28"/>
  <sheetViews>
    <sheetView topLeftCell="A6" zoomScale="70" zoomScaleNormal="70" workbookViewId="0">
      <selection activeCell="B14" sqref="B14"/>
    </sheetView>
  </sheetViews>
  <sheetFormatPr defaultColWidth="8.81640625" defaultRowHeight="14.5" x14ac:dyDescent="0.35"/>
  <cols>
    <col min="1" max="1" width="31.7265625" customWidth="1"/>
    <col min="2" max="2" width="43.81640625" customWidth="1"/>
    <col min="3" max="3" width="4.81640625" customWidth="1"/>
    <col min="4" max="4" width="10.1796875" customWidth="1"/>
    <col min="5" max="5" width="13" customWidth="1"/>
    <col min="6" max="6" width="28" customWidth="1"/>
    <col min="7" max="7" width="17.26953125" customWidth="1"/>
    <col min="8" max="8" width="15" customWidth="1"/>
    <col min="9" max="9" width="9.81640625" customWidth="1"/>
    <col min="10" max="10" width="34.26953125" customWidth="1"/>
    <col min="12" max="12" width="8.81640625" customWidth="1"/>
    <col min="13" max="13" width="18.7265625" hidden="1" customWidth="1"/>
    <col min="14" max="14" width="8.81640625" hidden="1" customWidth="1"/>
    <col min="15" max="15" width="7.7265625" customWidth="1"/>
  </cols>
  <sheetData>
    <row r="1" spans="1:14" ht="72" customHeight="1" thickBot="1" x14ac:dyDescent="0.4">
      <c r="A1" s="1153"/>
      <c r="B1" s="875"/>
      <c r="D1" s="1525"/>
      <c r="E1" s="1525"/>
      <c r="F1" s="1525"/>
      <c r="G1" s="1525"/>
      <c r="H1" s="1525"/>
      <c r="I1" s="1525"/>
      <c r="J1" s="1525"/>
      <c r="M1" t="s">
        <v>0</v>
      </c>
      <c r="N1">
        <v>12</v>
      </c>
    </row>
    <row r="2" spans="1:14" ht="15" thickBot="1" x14ac:dyDescent="0.4">
      <c r="D2" s="1530"/>
      <c r="E2" s="1530"/>
      <c r="F2" s="1530"/>
      <c r="G2" s="1530"/>
      <c r="H2" s="1530"/>
      <c r="I2" s="1530"/>
      <c r="J2" s="1530"/>
      <c r="M2" t="s">
        <v>1</v>
      </c>
      <c r="N2">
        <v>6</v>
      </c>
    </row>
    <row r="3" spans="1:14" ht="18.75" customHeight="1" x14ac:dyDescent="0.35">
      <c r="A3" s="1582" t="s">
        <v>2</v>
      </c>
      <c r="B3" s="1583"/>
      <c r="D3" s="1561" t="s">
        <v>3</v>
      </c>
      <c r="E3" s="1562"/>
      <c r="F3" s="1567" t="s">
        <v>4</v>
      </c>
      <c r="G3" s="1568"/>
      <c r="H3" s="1568"/>
      <c r="I3" s="1569"/>
      <c r="J3" s="1576" t="s">
        <v>5</v>
      </c>
      <c r="N3">
        <v>3</v>
      </c>
    </row>
    <row r="4" spans="1:14" ht="18.75" customHeight="1" x14ac:dyDescent="0.35">
      <c r="A4" s="1584"/>
      <c r="B4" s="1585"/>
      <c r="D4" s="1563"/>
      <c r="E4" s="1564"/>
      <c r="F4" s="1570"/>
      <c r="G4" s="1571"/>
      <c r="H4" s="1571"/>
      <c r="I4" s="1572"/>
      <c r="J4" s="1577"/>
      <c r="N4">
        <v>2</v>
      </c>
    </row>
    <row r="5" spans="1:14" ht="33" customHeight="1" thickBot="1" x14ac:dyDescent="0.4">
      <c r="A5" s="1584"/>
      <c r="B5" s="1585"/>
      <c r="D5" s="1565"/>
      <c r="E5" s="1566"/>
      <c r="F5" s="1573"/>
      <c r="G5" s="1574"/>
      <c r="H5" s="1574"/>
      <c r="I5" s="1575"/>
      <c r="J5" s="1578"/>
      <c r="N5">
        <v>1</v>
      </c>
    </row>
    <row r="6" spans="1:14" ht="24.75" customHeight="1" thickBot="1" x14ac:dyDescent="0.4">
      <c r="A6" s="1586"/>
      <c r="B6" s="1587"/>
      <c r="C6" s="6"/>
      <c r="D6" s="1592" t="s">
        <v>6</v>
      </c>
      <c r="E6" s="1593"/>
      <c r="F6" s="1593"/>
      <c r="G6" s="1593"/>
      <c r="H6" s="1593"/>
      <c r="I6" s="1593"/>
      <c r="J6" s="1594"/>
    </row>
    <row r="7" spans="1:14" ht="15" thickBot="1" x14ac:dyDescent="0.4"/>
    <row r="8" spans="1:14" ht="45" customHeight="1" x14ac:dyDescent="0.35">
      <c r="A8" s="1608" t="s">
        <v>7</v>
      </c>
      <c r="B8" s="1609"/>
      <c r="D8" s="1527" t="s">
        <v>8</v>
      </c>
      <c r="E8" s="1596" t="s">
        <v>9</v>
      </c>
      <c r="F8" s="1596"/>
      <c r="G8" s="1596"/>
      <c r="H8" s="1596"/>
      <c r="I8" s="1596"/>
      <c r="J8" s="1597"/>
    </row>
    <row r="9" spans="1:14" ht="49.5" customHeight="1" thickBot="1" x14ac:dyDescent="0.4">
      <c r="A9" s="1610"/>
      <c r="B9" s="1611"/>
      <c r="D9" s="1528" t="s">
        <v>10</v>
      </c>
      <c r="E9" s="1598" t="s">
        <v>11</v>
      </c>
      <c r="F9" s="1598"/>
      <c r="G9" s="1598"/>
      <c r="H9" s="1598"/>
      <c r="I9" s="1598"/>
      <c r="J9" s="1599"/>
    </row>
    <row r="10" spans="1:14" ht="125.25" customHeight="1" thickBot="1" x14ac:dyDescent="0.4">
      <c r="A10" s="1588" t="s">
        <v>12</v>
      </c>
      <c r="B10" s="1589"/>
      <c r="D10" s="1528" t="s">
        <v>13</v>
      </c>
      <c r="E10" s="1598" t="s">
        <v>14</v>
      </c>
      <c r="F10" s="1598"/>
      <c r="G10" s="1598"/>
      <c r="H10" s="1598"/>
      <c r="I10" s="1598"/>
      <c r="J10" s="1599"/>
    </row>
    <row r="11" spans="1:14" ht="34.5" customHeight="1" thickBot="1" x14ac:dyDescent="0.4">
      <c r="A11" s="1612" t="s">
        <v>15</v>
      </c>
      <c r="B11" s="1613"/>
      <c r="D11" s="1529" t="s">
        <v>16</v>
      </c>
      <c r="E11" s="1600" t="s">
        <v>17</v>
      </c>
      <c r="F11" s="1600"/>
      <c r="G11" s="1600"/>
      <c r="H11" s="1600"/>
      <c r="I11" s="1600"/>
      <c r="J11" s="1601"/>
    </row>
    <row r="12" spans="1:14" x14ac:dyDescent="0.35">
      <c r="A12" s="326"/>
      <c r="B12" s="326"/>
      <c r="E12" s="320"/>
      <c r="F12" s="320"/>
      <c r="G12" s="320"/>
      <c r="H12" s="320"/>
      <c r="I12" s="320"/>
      <c r="J12" s="320"/>
    </row>
    <row r="13" spans="1:14" ht="19" thickBot="1" x14ac:dyDescent="0.5">
      <c r="A13" s="322" t="s">
        <v>18</v>
      </c>
      <c r="B13" s="7"/>
      <c r="C13" s="7"/>
      <c r="D13" s="7"/>
      <c r="E13" s="7"/>
      <c r="F13" s="7"/>
      <c r="G13" s="7"/>
      <c r="H13" s="7"/>
      <c r="I13" s="7"/>
    </row>
    <row r="14" spans="1:14" ht="15" thickBot="1" x14ac:dyDescent="0.4">
      <c r="A14" s="323" t="s">
        <v>19</v>
      </c>
      <c r="B14" s="1411"/>
      <c r="C14" s="1410"/>
      <c r="D14" s="1410"/>
      <c r="E14" s="1410"/>
      <c r="F14" s="1410"/>
    </row>
    <row r="15" spans="1:14" ht="15" thickBot="1" x14ac:dyDescent="0.4">
      <c r="A15" s="323" t="s">
        <v>20</v>
      </c>
      <c r="B15" s="871"/>
      <c r="C15" s="1605" t="s">
        <v>21</v>
      </c>
      <c r="D15" s="1606"/>
      <c r="E15" s="1606"/>
      <c r="F15" s="1607"/>
    </row>
    <row r="16" spans="1:14" ht="15" thickBot="1" x14ac:dyDescent="0.4">
      <c r="A16" s="324" t="s">
        <v>22</v>
      </c>
      <c r="B16" s="328"/>
    </row>
    <row r="17" spans="1:10" ht="15" thickBot="1" x14ac:dyDescent="0.4">
      <c r="A17" s="1590" t="s">
        <v>23</v>
      </c>
      <c r="B17" s="1226">
        <v>1</v>
      </c>
      <c r="C17" s="1225"/>
      <c r="D17" s="1225"/>
      <c r="E17" s="1225"/>
      <c r="F17" s="1225"/>
      <c r="G17" s="2"/>
      <c r="H17" s="2"/>
      <c r="I17" s="2"/>
      <c r="J17" s="2"/>
    </row>
    <row r="18" spans="1:10" ht="15" thickBot="1" x14ac:dyDescent="0.4">
      <c r="A18" s="1591"/>
      <c r="B18" s="1182" t="s">
        <v>24</v>
      </c>
      <c r="C18" s="1602"/>
      <c r="D18" s="1603"/>
      <c r="E18" s="1604"/>
      <c r="F18" s="1183" t="s">
        <v>25</v>
      </c>
      <c r="G18" s="1602"/>
      <c r="H18" s="1603"/>
      <c r="I18" s="1603"/>
      <c r="J18" s="1604"/>
    </row>
    <row r="19" spans="1:10" ht="15" thickBot="1" x14ac:dyDescent="0.4">
      <c r="A19" s="325" t="s">
        <v>26</v>
      </c>
      <c r="B19" s="1595"/>
      <c r="C19" s="1580"/>
      <c r="D19" s="1580"/>
      <c r="E19" s="1580"/>
      <c r="F19" s="1580"/>
      <c r="G19" s="1580"/>
      <c r="H19" s="1580"/>
      <c r="I19" s="1580"/>
      <c r="J19" s="1581"/>
    </row>
    <row r="20" spans="1:10" ht="15" thickBot="1" x14ac:dyDescent="0.4">
      <c r="A20" s="323" t="s">
        <v>27</v>
      </c>
      <c r="B20" s="1579"/>
      <c r="C20" s="1580"/>
      <c r="D20" s="1580"/>
      <c r="E20" s="1580"/>
      <c r="F20" s="1580"/>
      <c r="G20" s="1580"/>
      <c r="H20" s="1580"/>
      <c r="I20" s="1580"/>
      <c r="J20" s="1581"/>
    </row>
    <row r="21" spans="1:10" ht="15" thickBot="1" x14ac:dyDescent="0.4">
      <c r="A21" s="323" t="s">
        <v>28</v>
      </c>
      <c r="B21" s="1579"/>
      <c r="C21" s="1580"/>
      <c r="D21" s="1580"/>
      <c r="E21" s="1580"/>
      <c r="F21" s="1580"/>
      <c r="G21" s="1580"/>
      <c r="H21" s="1580"/>
      <c r="I21" s="1580"/>
      <c r="J21" s="1581"/>
    </row>
    <row r="22" spans="1:10" ht="15" thickBot="1" x14ac:dyDescent="0.4">
      <c r="A22" s="323" t="s">
        <v>29</v>
      </c>
      <c r="B22" s="1579"/>
      <c r="C22" s="1580"/>
      <c r="D22" s="1580"/>
      <c r="E22" s="1580"/>
      <c r="F22" s="1580"/>
      <c r="G22" s="1580"/>
      <c r="H22" s="1580"/>
      <c r="I22" s="1580"/>
      <c r="J22" s="1581"/>
    </row>
    <row r="23" spans="1:10" ht="15" thickBot="1" x14ac:dyDescent="0.4">
      <c r="A23" s="7"/>
      <c r="B23" s="7"/>
      <c r="C23" s="7"/>
      <c r="D23" s="7"/>
      <c r="E23" s="7"/>
      <c r="F23" s="7"/>
      <c r="G23" s="7"/>
      <c r="H23" s="7"/>
      <c r="I23" s="7"/>
    </row>
    <row r="24" spans="1:10" ht="15.75" customHeight="1" thickBot="1" x14ac:dyDescent="0.4">
      <c r="A24" s="323" t="s">
        <v>30</v>
      </c>
      <c r="B24" s="1526" t="s">
        <v>31</v>
      </c>
    </row>
    <row r="25" spans="1:10" ht="15" thickBot="1" x14ac:dyDescent="0.4"/>
    <row r="26" spans="1:10" ht="16" thickBot="1" x14ac:dyDescent="0.4">
      <c r="A26" s="1522" t="s">
        <v>2591</v>
      </c>
      <c r="B26" s="1560" t="s">
        <v>2592</v>
      </c>
    </row>
    <row r="27" spans="1:10" ht="15.5" x14ac:dyDescent="0.35">
      <c r="A27" s="1522" t="s">
        <v>32</v>
      </c>
      <c r="B27" s="1559">
        <v>44117</v>
      </c>
    </row>
    <row r="28" spans="1:10" ht="16" thickBot="1" x14ac:dyDescent="0.4">
      <c r="A28" s="1523" t="s">
        <v>33</v>
      </c>
      <c r="B28" s="1524">
        <v>44719</v>
      </c>
    </row>
  </sheetData>
  <sheetProtection algorithmName="SHA-512" hashValue="zyO9uCLNOL97QxFIgrt4b4oZ58VfBcruu22jJZycAsXffUDjKqppWrOV3GbBRn8hkEWqGa82BgIZOPg8Uf8IrQ==" saltValue="Ie9v8196ILAoJuxFkSE5XQ==" spinCount="100000" sheet="1" objects="1" scenarios="1"/>
  <protectedRanges>
    <protectedRange sqref="B14:B17 C18 G18 B19:B22" name="Range1"/>
  </protectedRanges>
  <mergeCells count="20">
    <mergeCell ref="B22:J22"/>
    <mergeCell ref="B19:J19"/>
    <mergeCell ref="E8:J8"/>
    <mergeCell ref="E9:J9"/>
    <mergeCell ref="E11:J11"/>
    <mergeCell ref="E10:J10"/>
    <mergeCell ref="C18:E18"/>
    <mergeCell ref="G18:J18"/>
    <mergeCell ref="C15:F15"/>
    <mergeCell ref="A8:B9"/>
    <mergeCell ref="A11:B11"/>
    <mergeCell ref="D3:E5"/>
    <mergeCell ref="F3:I5"/>
    <mergeCell ref="J3:J5"/>
    <mergeCell ref="B20:J20"/>
    <mergeCell ref="B21:J21"/>
    <mergeCell ref="A3:B6"/>
    <mergeCell ref="A10:B10"/>
    <mergeCell ref="A17:A18"/>
    <mergeCell ref="D6:J6"/>
  </mergeCells>
  <dataValidations count="1">
    <dataValidation type="list" allowBlank="1" showInputMessage="1" showErrorMessage="1" sqref="B17" xr:uid="{A4526ED5-2D40-48C6-8991-D33657A27932}">
      <formula1>$N$1:$N$5</formula1>
    </dataValidation>
  </dataValidations>
  <hyperlinks>
    <hyperlink ref="J3" r:id="rId1" xr:uid="{95ACAF2C-2F5A-4CDA-911D-51C18485946E}"/>
    <hyperlink ref="D3:E5" r:id="rId2" display="Additional support on how to use the tool can be found in the associated guide" xr:uid="{5E1137D2-11C2-4C0B-B394-CA896FAB3A23}"/>
  </hyperlinks>
  <pageMargins left="0.7" right="0.7" top="0.75" bottom="0.75" header="0.3" footer="0.3"/>
  <pageSetup paperSize="9" orientation="portrait" horizontalDpi="360" verticalDpi="360" r:id="rId3"/>
  <drawing r:id="rId4"/>
  <extLst>
    <ext xmlns:x14="http://schemas.microsoft.com/office/spreadsheetml/2009/9/main" uri="{CCE6A557-97BC-4b89-ADB6-D9C93CAAB3DF}">
      <x14:dataValidations xmlns:xm="http://schemas.microsoft.com/office/excel/2006/main" count="1">
        <x14:dataValidation type="list" allowBlank="1" showInputMessage="1" showErrorMessage="1" xr:uid="{4D9B8B71-E1EF-46B3-AED6-28A21713943B}">
          <x14:formula1>
            <xm:f>'Carbon factors'!$B$116:$B$359</xm:f>
          </x14:formula1>
          <xm:sqref>B15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6DF88-E01D-4970-B904-E47FAA6F7B41}">
  <sheetPr>
    <tabColor rgb="FF00B050"/>
  </sheetPr>
  <dimension ref="A1:L49"/>
  <sheetViews>
    <sheetView topLeftCell="A41" zoomScale="90" zoomScaleNormal="90" workbookViewId="0">
      <selection activeCell="J49" sqref="J49"/>
    </sheetView>
  </sheetViews>
  <sheetFormatPr defaultRowHeight="14.5" x14ac:dyDescent="0.35"/>
  <cols>
    <col min="4" max="4" width="28.453125" customWidth="1"/>
    <col min="6" max="6" width="16" customWidth="1"/>
    <col min="7" max="7" width="18" customWidth="1"/>
    <col min="8" max="8" width="24.54296875" customWidth="1"/>
    <col min="9" max="9" width="36.7265625" customWidth="1"/>
    <col min="10" max="10" width="23.453125" customWidth="1"/>
  </cols>
  <sheetData>
    <row r="1" spans="1:10" ht="15" thickBot="1" x14ac:dyDescent="0.4"/>
    <row r="2" spans="1:10" ht="15.75" customHeight="1" thickBot="1" x14ac:dyDescent="0.4">
      <c r="A2" s="1633" t="s">
        <v>34</v>
      </c>
      <c r="B2" s="1634"/>
      <c r="C2" s="1634"/>
      <c r="D2" s="1634"/>
      <c r="E2" s="1634"/>
      <c r="F2" s="1634"/>
      <c r="G2" s="1634"/>
      <c r="H2" s="1634"/>
      <c r="I2" s="1634"/>
      <c r="J2" s="1635"/>
    </row>
    <row r="3" spans="1:10" ht="15" thickBot="1" x14ac:dyDescent="0.4"/>
    <row r="4" spans="1:10" ht="15" thickBot="1" x14ac:dyDescent="0.4">
      <c r="A4" s="1636" t="s">
        <v>35</v>
      </c>
      <c r="B4" s="1637"/>
      <c r="C4" s="1637"/>
      <c r="D4" s="1638"/>
      <c r="E4" s="1639" t="s">
        <v>36</v>
      </c>
      <c r="F4" s="1637"/>
      <c r="G4" s="1637"/>
      <c r="H4" s="1637"/>
      <c r="I4" s="1640"/>
      <c r="J4" s="1396" t="s">
        <v>37</v>
      </c>
    </row>
    <row r="5" spans="1:10" ht="33" customHeight="1" x14ac:dyDescent="0.35">
      <c r="A5" s="1641" t="s">
        <v>38</v>
      </c>
      <c r="B5" s="1642"/>
      <c r="C5" s="1642"/>
      <c r="D5" s="1642"/>
      <c r="E5" s="1596" t="s">
        <v>39</v>
      </c>
      <c r="F5" s="1596"/>
      <c r="G5" s="1596"/>
      <c r="H5" s="1596"/>
      <c r="I5" s="1596"/>
      <c r="J5" s="1412">
        <v>44348</v>
      </c>
    </row>
    <row r="6" spans="1:10" ht="37.5" customHeight="1" x14ac:dyDescent="0.35">
      <c r="A6" s="1625" t="s">
        <v>40</v>
      </c>
      <c r="B6" s="1626"/>
      <c r="C6" s="1626"/>
      <c r="D6" s="1626"/>
      <c r="E6" s="1598" t="s">
        <v>41</v>
      </c>
      <c r="F6" s="1598"/>
      <c r="G6" s="1598"/>
      <c r="H6" s="1598"/>
      <c r="I6" s="1598"/>
      <c r="J6" s="1413">
        <v>44348</v>
      </c>
    </row>
    <row r="7" spans="1:10" ht="30.75" customHeight="1" x14ac:dyDescent="0.35">
      <c r="A7" s="1622" t="s">
        <v>42</v>
      </c>
      <c r="B7" s="1623"/>
      <c r="C7" s="1623"/>
      <c r="D7" s="1623"/>
      <c r="E7" s="1598" t="s">
        <v>43</v>
      </c>
      <c r="F7" s="1598"/>
      <c r="G7" s="1598"/>
      <c r="H7" s="1598"/>
      <c r="I7" s="1598"/>
      <c r="J7" s="1413">
        <v>44348</v>
      </c>
    </row>
    <row r="8" spans="1:10" ht="30.75" customHeight="1" x14ac:dyDescent="0.35">
      <c r="A8" s="1625" t="s">
        <v>44</v>
      </c>
      <c r="B8" s="1626"/>
      <c r="C8" s="1626"/>
      <c r="D8" s="1626"/>
      <c r="E8" s="1598" t="s">
        <v>45</v>
      </c>
      <c r="F8" s="1598"/>
      <c r="G8" s="1598"/>
      <c r="H8" s="1598"/>
      <c r="I8" s="1598"/>
      <c r="J8" s="1413">
        <v>44348</v>
      </c>
    </row>
    <row r="9" spans="1:10" ht="33.75" customHeight="1" x14ac:dyDescent="0.35">
      <c r="A9" s="1625" t="s">
        <v>46</v>
      </c>
      <c r="B9" s="1626"/>
      <c r="C9" s="1626"/>
      <c r="D9" s="1626"/>
      <c r="E9" s="1598" t="s">
        <v>47</v>
      </c>
      <c r="F9" s="1598"/>
      <c r="G9" s="1598"/>
      <c r="H9" s="1598"/>
      <c r="I9" s="1598"/>
      <c r="J9" s="1413">
        <v>44348</v>
      </c>
    </row>
    <row r="10" spans="1:10" ht="63" customHeight="1" x14ac:dyDescent="0.35">
      <c r="A10" s="1625" t="s">
        <v>48</v>
      </c>
      <c r="B10" s="1626"/>
      <c r="C10" s="1626"/>
      <c r="D10" s="1626"/>
      <c r="E10" s="1598" t="s">
        <v>49</v>
      </c>
      <c r="F10" s="1598"/>
      <c r="G10" s="1598"/>
      <c r="H10" s="1598"/>
      <c r="I10" s="1598"/>
      <c r="J10" s="1413">
        <v>44348</v>
      </c>
    </row>
    <row r="11" spans="1:10" x14ac:dyDescent="0.35">
      <c r="A11" s="1622" t="s">
        <v>50</v>
      </c>
      <c r="B11" s="1623"/>
      <c r="C11" s="1623"/>
      <c r="D11" s="1623"/>
      <c r="E11" s="1598" t="s">
        <v>51</v>
      </c>
      <c r="F11" s="1598"/>
      <c r="G11" s="1598"/>
      <c r="H11" s="1598"/>
      <c r="I11" s="1598"/>
      <c r="J11" s="1413">
        <v>44348</v>
      </c>
    </row>
    <row r="12" spans="1:10" x14ac:dyDescent="0.35">
      <c r="A12" s="1625" t="s">
        <v>52</v>
      </c>
      <c r="B12" s="1626"/>
      <c r="C12" s="1626"/>
      <c r="D12" s="1626"/>
      <c r="E12" s="1598" t="s">
        <v>53</v>
      </c>
      <c r="F12" s="1598"/>
      <c r="G12" s="1598"/>
      <c r="H12" s="1598"/>
      <c r="I12" s="1598"/>
      <c r="J12" s="1413">
        <v>44348</v>
      </c>
    </row>
    <row r="13" spans="1:10" x14ac:dyDescent="0.35">
      <c r="A13" s="1625" t="s">
        <v>54</v>
      </c>
      <c r="B13" s="1626"/>
      <c r="C13" s="1626"/>
      <c r="D13" s="1626"/>
      <c r="E13" s="1598" t="s">
        <v>55</v>
      </c>
      <c r="F13" s="1598"/>
      <c r="G13" s="1598"/>
      <c r="H13" s="1598"/>
      <c r="I13" s="1598"/>
      <c r="J13" s="1413">
        <v>44348</v>
      </c>
    </row>
    <row r="14" spans="1:10" ht="32.25" customHeight="1" x14ac:dyDescent="0.35">
      <c r="A14" s="1625" t="s">
        <v>56</v>
      </c>
      <c r="B14" s="1626"/>
      <c r="C14" s="1626"/>
      <c r="D14" s="1626"/>
      <c r="E14" s="1598" t="s">
        <v>57</v>
      </c>
      <c r="F14" s="1598"/>
      <c r="G14" s="1598"/>
      <c r="H14" s="1598"/>
      <c r="I14" s="1598"/>
      <c r="J14" s="1413">
        <v>44348</v>
      </c>
    </row>
    <row r="15" spans="1:10" ht="33" customHeight="1" x14ac:dyDescent="0.35">
      <c r="A15" s="1622" t="s">
        <v>58</v>
      </c>
      <c r="B15" s="1623"/>
      <c r="C15" s="1623"/>
      <c r="D15" s="1623"/>
      <c r="E15" s="1598" t="s">
        <v>59</v>
      </c>
      <c r="F15" s="1598"/>
      <c r="G15" s="1598"/>
      <c r="H15" s="1598"/>
      <c r="I15" s="1598"/>
      <c r="J15" s="1413">
        <v>44348</v>
      </c>
    </row>
    <row r="16" spans="1:10" ht="32.25" customHeight="1" x14ac:dyDescent="0.35">
      <c r="A16" s="1625" t="s">
        <v>60</v>
      </c>
      <c r="B16" s="1626"/>
      <c r="C16" s="1626"/>
      <c r="D16" s="1626"/>
      <c r="E16" s="1598" t="s">
        <v>61</v>
      </c>
      <c r="F16" s="1598"/>
      <c r="G16" s="1598"/>
      <c r="H16" s="1598"/>
      <c r="I16" s="1598"/>
      <c r="J16" s="1413">
        <v>44348</v>
      </c>
    </row>
    <row r="17" spans="1:12" x14ac:dyDescent="0.35">
      <c r="A17" s="1622" t="s">
        <v>62</v>
      </c>
      <c r="B17" s="1623"/>
      <c r="C17" s="1623"/>
      <c r="D17" s="1623"/>
      <c r="E17" s="1632" t="s">
        <v>63</v>
      </c>
      <c r="F17" s="1632"/>
      <c r="G17" s="1632"/>
      <c r="H17" s="1632"/>
      <c r="I17" s="1632"/>
      <c r="J17" s="1413">
        <v>44348</v>
      </c>
    </row>
    <row r="18" spans="1:12" ht="29.25" customHeight="1" x14ac:dyDescent="0.35">
      <c r="A18" s="1622" t="s">
        <v>64</v>
      </c>
      <c r="B18" s="1623"/>
      <c r="C18" s="1623"/>
      <c r="D18" s="1623"/>
      <c r="E18" s="1598" t="s">
        <v>65</v>
      </c>
      <c r="F18" s="1598"/>
      <c r="G18" s="1598"/>
      <c r="H18" s="1598"/>
      <c r="I18" s="1598"/>
      <c r="J18" s="1413">
        <v>44348</v>
      </c>
    </row>
    <row r="19" spans="1:12" ht="36" customHeight="1" x14ac:dyDescent="0.35">
      <c r="A19" s="1622" t="s">
        <v>66</v>
      </c>
      <c r="B19" s="1623"/>
      <c r="C19" s="1623"/>
      <c r="D19" s="1623"/>
      <c r="E19" s="1598" t="s">
        <v>67</v>
      </c>
      <c r="F19" s="1598"/>
      <c r="G19" s="1598"/>
      <c r="H19" s="1598"/>
      <c r="I19" s="1598"/>
      <c r="J19" s="1413">
        <v>44348</v>
      </c>
    </row>
    <row r="20" spans="1:12" ht="36" customHeight="1" x14ac:dyDescent="0.35">
      <c r="A20" s="1624" t="s">
        <v>68</v>
      </c>
      <c r="B20" s="1614"/>
      <c r="C20" s="1614"/>
      <c r="D20" s="1614"/>
      <c r="E20" s="1598" t="s">
        <v>69</v>
      </c>
      <c r="F20" s="1598"/>
      <c r="G20" s="1598"/>
      <c r="H20" s="1598"/>
      <c r="I20" s="1598"/>
      <c r="J20" s="1413">
        <v>44348</v>
      </c>
    </row>
    <row r="21" spans="1:12" ht="36" customHeight="1" x14ac:dyDescent="0.35">
      <c r="A21" s="1625" t="s">
        <v>70</v>
      </c>
      <c r="B21" s="1626"/>
      <c r="C21" s="1626"/>
      <c r="D21" s="1626"/>
      <c r="E21" s="1598" t="s">
        <v>71</v>
      </c>
      <c r="F21" s="1598"/>
      <c r="G21" s="1598"/>
      <c r="H21" s="1598"/>
      <c r="I21" s="1598"/>
      <c r="J21" s="1413">
        <v>44348</v>
      </c>
    </row>
    <row r="22" spans="1:12" ht="36" customHeight="1" x14ac:dyDescent="0.35">
      <c r="A22" s="1615" t="s">
        <v>72</v>
      </c>
      <c r="B22" s="1616"/>
      <c r="C22" s="1616"/>
      <c r="D22" s="1617"/>
      <c r="E22" s="1598" t="s">
        <v>73</v>
      </c>
      <c r="F22" s="1598"/>
      <c r="G22" s="1598"/>
      <c r="H22" s="1598"/>
      <c r="I22" s="1598"/>
      <c r="J22" s="1413">
        <v>44348</v>
      </c>
      <c r="L22" t="s">
        <v>74</v>
      </c>
    </row>
    <row r="23" spans="1:12" ht="30.75" customHeight="1" x14ac:dyDescent="0.35">
      <c r="A23" s="1622" t="s">
        <v>75</v>
      </c>
      <c r="B23" s="1623"/>
      <c r="C23" s="1623"/>
      <c r="D23" s="1623"/>
      <c r="E23" s="1598" t="s">
        <v>76</v>
      </c>
      <c r="F23" s="1598"/>
      <c r="G23" s="1598"/>
      <c r="H23" s="1598"/>
      <c r="I23" s="1598"/>
      <c r="J23" s="1413">
        <v>44378</v>
      </c>
    </row>
    <row r="24" spans="1:12" ht="30.75" customHeight="1" x14ac:dyDescent="0.35">
      <c r="A24" s="1625" t="s">
        <v>77</v>
      </c>
      <c r="B24" s="1626"/>
      <c r="C24" s="1626"/>
      <c r="D24" s="1626"/>
      <c r="E24" s="1598" t="s">
        <v>78</v>
      </c>
      <c r="F24" s="1598"/>
      <c r="G24" s="1598"/>
      <c r="H24" s="1598"/>
      <c r="I24" s="1598"/>
      <c r="J24" s="1413">
        <v>44378</v>
      </c>
    </row>
    <row r="25" spans="1:12" ht="30.75" customHeight="1" x14ac:dyDescent="0.35">
      <c r="A25" s="1625" t="s">
        <v>79</v>
      </c>
      <c r="B25" s="1626"/>
      <c r="C25" s="1626"/>
      <c r="D25" s="1626"/>
      <c r="E25" s="1598" t="s">
        <v>80</v>
      </c>
      <c r="F25" s="1598"/>
      <c r="G25" s="1598"/>
      <c r="H25" s="1598"/>
      <c r="I25" s="1598"/>
      <c r="J25" s="1413">
        <v>44378</v>
      </c>
    </row>
    <row r="26" spans="1:12" ht="30.75" customHeight="1" x14ac:dyDescent="0.35">
      <c r="A26" s="1625" t="s">
        <v>81</v>
      </c>
      <c r="B26" s="1626"/>
      <c r="C26" s="1626"/>
      <c r="D26" s="1626"/>
      <c r="E26" s="1598" t="s">
        <v>82</v>
      </c>
      <c r="F26" s="1598"/>
      <c r="G26" s="1598"/>
      <c r="H26" s="1598"/>
      <c r="I26" s="1598"/>
      <c r="J26" s="1413">
        <v>44378</v>
      </c>
    </row>
    <row r="27" spans="1:12" ht="33.75" customHeight="1" x14ac:dyDescent="0.35">
      <c r="A27" s="1622" t="s">
        <v>83</v>
      </c>
      <c r="B27" s="1623"/>
      <c r="C27" s="1623"/>
      <c r="D27" s="1623"/>
      <c r="E27" s="1598" t="s">
        <v>84</v>
      </c>
      <c r="F27" s="1598"/>
      <c r="G27" s="1598"/>
      <c r="H27" s="1598"/>
      <c r="I27" s="1598"/>
      <c r="J27" s="1413">
        <v>44378</v>
      </c>
    </row>
    <row r="28" spans="1:12" ht="54.75" customHeight="1" x14ac:dyDescent="0.35">
      <c r="A28" s="1622" t="s">
        <v>85</v>
      </c>
      <c r="B28" s="1623"/>
      <c r="C28" s="1623"/>
      <c r="D28" s="1623"/>
      <c r="E28" s="1598" t="s">
        <v>86</v>
      </c>
      <c r="F28" s="1598"/>
      <c r="G28" s="1598"/>
      <c r="H28" s="1598"/>
      <c r="I28" s="1598"/>
      <c r="J28" s="1413">
        <v>44396</v>
      </c>
    </row>
    <row r="29" spans="1:12" ht="15" customHeight="1" x14ac:dyDescent="0.35">
      <c r="A29" s="1622" t="s">
        <v>87</v>
      </c>
      <c r="B29" s="1623"/>
      <c r="C29" s="1623"/>
      <c r="D29" s="1623"/>
      <c r="E29" s="1598" t="s">
        <v>88</v>
      </c>
      <c r="F29" s="1598"/>
      <c r="G29" s="1598"/>
      <c r="H29" s="1598"/>
      <c r="I29" s="1598"/>
      <c r="J29" s="1413">
        <v>44397</v>
      </c>
    </row>
    <row r="30" spans="1:12" x14ac:dyDescent="0.35">
      <c r="A30" s="1622" t="s">
        <v>89</v>
      </c>
      <c r="B30" s="1623"/>
      <c r="C30" s="1623"/>
      <c r="D30" s="1623"/>
      <c r="E30" s="1598" t="s">
        <v>90</v>
      </c>
      <c r="F30" s="1598"/>
      <c r="G30" s="1598"/>
      <c r="H30" s="1598"/>
      <c r="I30" s="1598"/>
      <c r="J30" s="1413">
        <v>44417</v>
      </c>
    </row>
    <row r="31" spans="1:12" x14ac:dyDescent="0.35">
      <c r="A31" s="1622" t="s">
        <v>91</v>
      </c>
      <c r="B31" s="1623"/>
      <c r="C31" s="1623"/>
      <c r="D31" s="1623"/>
      <c r="E31" s="1598" t="s">
        <v>92</v>
      </c>
      <c r="F31" s="1598"/>
      <c r="G31" s="1598"/>
      <c r="H31" s="1598"/>
      <c r="I31" s="1598"/>
      <c r="J31" s="1413">
        <v>44417</v>
      </c>
    </row>
    <row r="32" spans="1:12" x14ac:dyDescent="0.35">
      <c r="A32" s="1622" t="s">
        <v>93</v>
      </c>
      <c r="B32" s="1623"/>
      <c r="C32" s="1623"/>
      <c r="D32" s="1623"/>
      <c r="E32" s="1598" t="s">
        <v>94</v>
      </c>
      <c r="F32" s="1598"/>
      <c r="G32" s="1598"/>
      <c r="H32" s="1598"/>
      <c r="I32" s="1598"/>
      <c r="J32" s="1413">
        <v>44417</v>
      </c>
    </row>
    <row r="33" spans="1:10" x14ac:dyDescent="0.35">
      <c r="A33" s="1622" t="s">
        <v>95</v>
      </c>
      <c r="B33" s="1623"/>
      <c r="C33" s="1623"/>
      <c r="D33" s="1623"/>
      <c r="E33" s="1598" t="s">
        <v>96</v>
      </c>
      <c r="F33" s="1598"/>
      <c r="G33" s="1598"/>
      <c r="H33" s="1598"/>
      <c r="I33" s="1598"/>
      <c r="J33" s="1413">
        <v>44479</v>
      </c>
    </row>
    <row r="34" spans="1:10" ht="64.5" customHeight="1" x14ac:dyDescent="0.35">
      <c r="A34" s="1622" t="s">
        <v>97</v>
      </c>
      <c r="B34" s="1623"/>
      <c r="C34" s="1623"/>
      <c r="D34" s="1623"/>
      <c r="E34" s="1598" t="s">
        <v>98</v>
      </c>
      <c r="F34" s="1598"/>
      <c r="G34" s="1598"/>
      <c r="H34" s="1598"/>
      <c r="I34" s="1598"/>
      <c r="J34" s="1413">
        <v>44487</v>
      </c>
    </row>
    <row r="35" spans="1:10" x14ac:dyDescent="0.35">
      <c r="A35" s="1622" t="s">
        <v>99</v>
      </c>
      <c r="B35" s="1623"/>
      <c r="C35" s="1623"/>
      <c r="D35" s="1623"/>
      <c r="E35" s="1598" t="s">
        <v>100</v>
      </c>
      <c r="F35" s="1598"/>
      <c r="G35" s="1598"/>
      <c r="H35" s="1598"/>
      <c r="I35" s="1598"/>
      <c r="J35" s="1413">
        <v>44487</v>
      </c>
    </row>
    <row r="36" spans="1:10" ht="29.25" customHeight="1" x14ac:dyDescent="0.35">
      <c r="A36" s="1622" t="s">
        <v>101</v>
      </c>
      <c r="B36" s="1623"/>
      <c r="C36" s="1623"/>
      <c r="D36" s="1623"/>
      <c r="E36" s="1598" t="s">
        <v>102</v>
      </c>
      <c r="F36" s="1598"/>
      <c r="G36" s="1598"/>
      <c r="H36" s="1598"/>
      <c r="I36" s="1598"/>
      <c r="J36" s="1413">
        <v>44491</v>
      </c>
    </row>
    <row r="37" spans="1:10" ht="37.5" customHeight="1" x14ac:dyDescent="0.35">
      <c r="A37" s="1622" t="s">
        <v>103</v>
      </c>
      <c r="B37" s="1623"/>
      <c r="C37" s="1623"/>
      <c r="D37" s="1623"/>
      <c r="E37" s="1598" t="s">
        <v>104</v>
      </c>
      <c r="F37" s="1598"/>
      <c r="G37" s="1598"/>
      <c r="H37" s="1598"/>
      <c r="I37" s="1598"/>
      <c r="J37" s="1413">
        <v>44491</v>
      </c>
    </row>
    <row r="38" spans="1:10" ht="45" customHeight="1" x14ac:dyDescent="0.35">
      <c r="A38" s="1622" t="s">
        <v>105</v>
      </c>
      <c r="B38" s="1623"/>
      <c r="C38" s="1623"/>
      <c r="D38" s="1623"/>
      <c r="E38" s="1598" t="s">
        <v>106</v>
      </c>
      <c r="F38" s="1598"/>
      <c r="G38" s="1598"/>
      <c r="H38" s="1598"/>
      <c r="I38" s="1598"/>
      <c r="J38" s="1487">
        <v>44501</v>
      </c>
    </row>
    <row r="39" spans="1:10" ht="46.5" customHeight="1" x14ac:dyDescent="0.35">
      <c r="A39" s="1622" t="s">
        <v>107</v>
      </c>
      <c r="B39" s="1623"/>
      <c r="C39" s="1623"/>
      <c r="D39" s="1623"/>
      <c r="E39" s="1598" t="s">
        <v>108</v>
      </c>
      <c r="F39" s="1598"/>
      <c r="G39" s="1598"/>
      <c r="H39" s="1598"/>
      <c r="I39" s="1598"/>
      <c r="J39" s="1413">
        <v>44572</v>
      </c>
    </row>
    <row r="40" spans="1:10" ht="46.5" customHeight="1" x14ac:dyDescent="0.35">
      <c r="A40" s="1622" t="s">
        <v>109</v>
      </c>
      <c r="B40" s="1623"/>
      <c r="C40" s="1623"/>
      <c r="D40" s="1623"/>
      <c r="E40" s="1598" t="s">
        <v>110</v>
      </c>
      <c r="F40" s="1598"/>
      <c r="G40" s="1598"/>
      <c r="H40" s="1598"/>
      <c r="I40" s="1598"/>
      <c r="J40" s="1413">
        <v>44572</v>
      </c>
    </row>
    <row r="41" spans="1:10" ht="31.5" customHeight="1" x14ac:dyDescent="0.35">
      <c r="A41" s="1622" t="s">
        <v>111</v>
      </c>
      <c r="B41" s="1623"/>
      <c r="C41" s="1623"/>
      <c r="D41" s="1623"/>
      <c r="E41" s="1598" t="s">
        <v>112</v>
      </c>
      <c r="F41" s="1598"/>
      <c r="G41" s="1598"/>
      <c r="H41" s="1598"/>
      <c r="I41" s="1598"/>
      <c r="J41" s="1413">
        <v>44572</v>
      </c>
    </row>
    <row r="42" spans="1:10" ht="31.5" customHeight="1" x14ac:dyDescent="0.35">
      <c r="A42" s="1625" t="s">
        <v>113</v>
      </c>
      <c r="B42" s="1626"/>
      <c r="C42" s="1626"/>
      <c r="D42" s="1626"/>
      <c r="E42" s="1598" t="s">
        <v>114</v>
      </c>
      <c r="F42" s="1598"/>
      <c r="G42" s="1598"/>
      <c r="H42" s="1598"/>
      <c r="I42" s="1598"/>
      <c r="J42" s="1413">
        <v>44572</v>
      </c>
    </row>
    <row r="43" spans="1:10" ht="31.5" customHeight="1" x14ac:dyDescent="0.35">
      <c r="A43" s="1627" t="s">
        <v>115</v>
      </c>
      <c r="B43" s="1628"/>
      <c r="C43" s="1628"/>
      <c r="D43" s="1628"/>
      <c r="E43" s="1598" t="s">
        <v>116</v>
      </c>
      <c r="F43" s="1598"/>
      <c r="G43" s="1598"/>
      <c r="H43" s="1598"/>
      <c r="I43" s="1598"/>
      <c r="J43" s="1413">
        <v>44579</v>
      </c>
    </row>
    <row r="44" spans="1:10" ht="31.5" customHeight="1" x14ac:dyDescent="0.35">
      <c r="A44" s="1624" t="s">
        <v>117</v>
      </c>
      <c r="B44" s="1614"/>
      <c r="C44" s="1614"/>
      <c r="D44" s="1614"/>
      <c r="E44" s="1598" t="s">
        <v>118</v>
      </c>
      <c r="F44" s="1598"/>
      <c r="G44" s="1598"/>
      <c r="H44" s="1598"/>
      <c r="I44" s="1598"/>
      <c r="J44" s="1413">
        <v>44579</v>
      </c>
    </row>
    <row r="45" spans="1:10" ht="31.5" customHeight="1" x14ac:dyDescent="0.35">
      <c r="A45" s="1629" t="s">
        <v>119</v>
      </c>
      <c r="B45" s="1630"/>
      <c r="C45" s="1630"/>
      <c r="D45" s="1631"/>
      <c r="E45" s="1619" t="s">
        <v>120</v>
      </c>
      <c r="F45" s="1620"/>
      <c r="G45" s="1620"/>
      <c r="H45" s="1620"/>
      <c r="I45" s="1621"/>
      <c r="J45" s="1503">
        <v>44587</v>
      </c>
    </row>
    <row r="46" spans="1:10" x14ac:dyDescent="0.35">
      <c r="A46" s="1614" t="s">
        <v>121</v>
      </c>
      <c r="B46" s="1614"/>
      <c r="C46" s="1614"/>
      <c r="D46" s="1614"/>
      <c r="E46" s="1598" t="s">
        <v>122</v>
      </c>
      <c r="F46" s="1598"/>
      <c r="G46" s="1598"/>
      <c r="H46" s="1598"/>
      <c r="I46" s="1598"/>
      <c r="J46" s="1521">
        <v>44584</v>
      </c>
    </row>
    <row r="47" spans="1:10" ht="45.75" customHeight="1" x14ac:dyDescent="0.35">
      <c r="A47" s="1614" t="s">
        <v>123</v>
      </c>
      <c r="B47" s="1614"/>
      <c r="C47" s="1614"/>
      <c r="D47" s="1614"/>
      <c r="E47" s="1598" t="s">
        <v>124</v>
      </c>
      <c r="F47" s="1598"/>
      <c r="G47" s="1598"/>
      <c r="H47" s="1598"/>
      <c r="I47" s="1598"/>
      <c r="J47" s="1521">
        <v>44608</v>
      </c>
    </row>
    <row r="48" spans="1:10" ht="65.25" customHeight="1" x14ac:dyDescent="0.35">
      <c r="A48" s="1618" t="s">
        <v>125</v>
      </c>
      <c r="B48" s="1616"/>
      <c r="C48" s="1616"/>
      <c r="D48" s="1617"/>
      <c r="E48" s="1619" t="s">
        <v>126</v>
      </c>
      <c r="F48" s="1620"/>
      <c r="G48" s="1620"/>
      <c r="H48" s="1620"/>
      <c r="I48" s="1621"/>
      <c r="J48" s="1521">
        <v>44608</v>
      </c>
    </row>
    <row r="49" spans="1:10" ht="49.5" customHeight="1" x14ac:dyDescent="0.35">
      <c r="A49" s="1614" t="s">
        <v>127</v>
      </c>
      <c r="B49" s="1614"/>
      <c r="C49" s="1614"/>
      <c r="D49" s="1614"/>
      <c r="E49" s="1598" t="s">
        <v>128</v>
      </c>
      <c r="F49" s="1598"/>
      <c r="G49" s="1598"/>
      <c r="H49" s="1598"/>
      <c r="I49" s="1598"/>
      <c r="J49" s="1521">
        <v>44701</v>
      </c>
    </row>
  </sheetData>
  <sheetProtection algorithmName="SHA-512" hashValue="dsjxGiGECpHfGFnOdAsvqjTLf4iynNn3T+q76QIaPB43QjlCtUdKISQr2EWP/4i1cimfJcjKetoOd7z7zfEbOg==" saltValue="+xBtQ8Tyf8rmP5ixImYXkg==" spinCount="100000" sheet="1" objects="1" scenarios="1"/>
  <mergeCells count="93">
    <mergeCell ref="A2:J2"/>
    <mergeCell ref="A7:D7"/>
    <mergeCell ref="E7:I7"/>
    <mergeCell ref="A8:D8"/>
    <mergeCell ref="E8:I8"/>
    <mergeCell ref="A6:D6"/>
    <mergeCell ref="E6:I6"/>
    <mergeCell ref="A4:D4"/>
    <mergeCell ref="E4:I4"/>
    <mergeCell ref="A5:D5"/>
    <mergeCell ref="E5:I5"/>
    <mergeCell ref="E9:I9"/>
    <mergeCell ref="A10:D10"/>
    <mergeCell ref="E10:I10"/>
    <mergeCell ref="A11:D11"/>
    <mergeCell ref="E11:I11"/>
    <mergeCell ref="A9:D9"/>
    <mergeCell ref="A18:D18"/>
    <mergeCell ref="E18:I18"/>
    <mergeCell ref="A12:D12"/>
    <mergeCell ref="E12:I12"/>
    <mergeCell ref="A13:D13"/>
    <mergeCell ref="E13:I13"/>
    <mergeCell ref="A14:D14"/>
    <mergeCell ref="E14:I14"/>
    <mergeCell ref="A15:D15"/>
    <mergeCell ref="E15:I15"/>
    <mergeCell ref="A16:D16"/>
    <mergeCell ref="E16:I16"/>
    <mergeCell ref="A17:D17"/>
    <mergeCell ref="E17:I17"/>
    <mergeCell ref="A25:D25"/>
    <mergeCell ref="E25:I25"/>
    <mergeCell ref="A26:D26"/>
    <mergeCell ref="E26:I26"/>
    <mergeCell ref="A21:D21"/>
    <mergeCell ref="A19:D19"/>
    <mergeCell ref="E19:I19"/>
    <mergeCell ref="A23:D23"/>
    <mergeCell ref="E23:I23"/>
    <mergeCell ref="A24:D24"/>
    <mergeCell ref="E24:I24"/>
    <mergeCell ref="E20:I20"/>
    <mergeCell ref="E21:I21"/>
    <mergeCell ref="E22:I22"/>
    <mergeCell ref="A20:D20"/>
    <mergeCell ref="A30:D30"/>
    <mergeCell ref="E30:I30"/>
    <mergeCell ref="A31:D31"/>
    <mergeCell ref="E31:I31"/>
    <mergeCell ref="A32:D32"/>
    <mergeCell ref="E32:I32"/>
    <mergeCell ref="A27:D27"/>
    <mergeCell ref="E27:I27"/>
    <mergeCell ref="A28:D28"/>
    <mergeCell ref="E28:I28"/>
    <mergeCell ref="A29:D29"/>
    <mergeCell ref="E29:I29"/>
    <mergeCell ref="A35:D35"/>
    <mergeCell ref="E35:I35"/>
    <mergeCell ref="A37:D37"/>
    <mergeCell ref="E37:I37"/>
    <mergeCell ref="A33:D33"/>
    <mergeCell ref="E33:I33"/>
    <mergeCell ref="A34:D34"/>
    <mergeCell ref="E34:I34"/>
    <mergeCell ref="E46:I46"/>
    <mergeCell ref="A44:D44"/>
    <mergeCell ref="E44:I44"/>
    <mergeCell ref="A36:D36"/>
    <mergeCell ref="E36:I36"/>
    <mergeCell ref="A42:D42"/>
    <mergeCell ref="E42:I42"/>
    <mergeCell ref="A43:D43"/>
    <mergeCell ref="E43:I43"/>
    <mergeCell ref="A45:D45"/>
    <mergeCell ref="E45:I45"/>
    <mergeCell ref="A49:D49"/>
    <mergeCell ref="E49:I49"/>
    <mergeCell ref="A22:D22"/>
    <mergeCell ref="A47:D47"/>
    <mergeCell ref="E47:I47"/>
    <mergeCell ref="A48:D48"/>
    <mergeCell ref="E48:I48"/>
    <mergeCell ref="A38:D38"/>
    <mergeCell ref="A39:D39"/>
    <mergeCell ref="E38:I38"/>
    <mergeCell ref="E39:I39"/>
    <mergeCell ref="E41:I41"/>
    <mergeCell ref="A41:D41"/>
    <mergeCell ref="A40:D40"/>
    <mergeCell ref="E40:I40"/>
    <mergeCell ref="A46:D4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1CDDF-862E-4252-82E7-524D008BF1F4}">
  <sheetPr codeName="Sheet18">
    <tabColor rgb="FF00B050"/>
  </sheetPr>
  <dimension ref="A1:J40"/>
  <sheetViews>
    <sheetView topLeftCell="E5" zoomScale="90" zoomScaleNormal="90" workbookViewId="0">
      <selection activeCell="F31" sqref="F31"/>
    </sheetView>
  </sheetViews>
  <sheetFormatPr defaultColWidth="9.1796875" defaultRowHeight="14.5" x14ac:dyDescent="0.35"/>
  <cols>
    <col min="1" max="1" width="33.81640625" hidden="1" customWidth="1"/>
    <col min="2" max="2" width="27.1796875" hidden="1" customWidth="1"/>
    <col min="3" max="4" width="0" hidden="1" customWidth="1"/>
    <col min="5" max="5" width="41" bestFit="1" customWidth="1"/>
    <col min="6" max="6" width="28.54296875" bestFit="1" customWidth="1"/>
    <col min="7" max="7" width="13.1796875" bestFit="1" customWidth="1"/>
    <col min="8" max="8" width="10.453125" bestFit="1" customWidth="1"/>
    <col min="9" max="9" width="9.7265625" bestFit="1" customWidth="1"/>
    <col min="10" max="10" width="6.26953125" bestFit="1" customWidth="1"/>
    <col min="11" max="11" width="13.1796875" customWidth="1"/>
    <col min="13" max="13" width="11.81640625" customWidth="1"/>
  </cols>
  <sheetData>
    <row r="1" spans="1:10" ht="39.5" thickTop="1" x14ac:dyDescent="0.35">
      <c r="E1" s="153" t="s">
        <v>129</v>
      </c>
      <c r="F1" s="154" t="s">
        <v>130</v>
      </c>
      <c r="G1" s="13" t="s">
        <v>131</v>
      </c>
      <c r="H1" s="12">
        <v>44927</v>
      </c>
      <c r="I1" s="146" t="s">
        <v>132</v>
      </c>
      <c r="J1" s="1035" t="s">
        <v>133</v>
      </c>
    </row>
    <row r="2" spans="1:10" ht="15" thickBot="1" x14ac:dyDescent="0.4">
      <c r="E2" s="155" t="s">
        <v>134</v>
      </c>
      <c r="F2" s="156" t="s">
        <v>135</v>
      </c>
      <c r="G2" s="155" t="s">
        <v>136</v>
      </c>
      <c r="H2" s="157">
        <v>1</v>
      </c>
      <c r="I2" s="333" t="s">
        <v>137</v>
      </c>
      <c r="J2" s="334">
        <v>2022</v>
      </c>
    </row>
    <row r="3" spans="1:10" ht="15" thickTop="1" x14ac:dyDescent="0.35">
      <c r="E3" s="1013"/>
    </row>
    <row r="4" spans="1:10" x14ac:dyDescent="0.35">
      <c r="E4" s="1015" t="s">
        <v>138</v>
      </c>
      <c r="F4" s="1643" t="s">
        <v>139</v>
      </c>
    </row>
    <row r="5" spans="1:10" x14ac:dyDescent="0.35">
      <c r="E5" s="1016"/>
      <c r="F5" s="1644"/>
    </row>
    <row r="6" spans="1:10" ht="15" thickBot="1" x14ac:dyDescent="0.4">
      <c r="E6" s="1016"/>
      <c r="F6" s="1644"/>
    </row>
    <row r="7" spans="1:10" x14ac:dyDescent="0.35">
      <c r="A7" s="1645" t="s">
        <v>140</v>
      </c>
      <c r="B7" s="1646"/>
      <c r="E7" s="1017" t="s">
        <v>141</v>
      </c>
      <c r="F7" s="1014"/>
    </row>
    <row r="8" spans="1:10" x14ac:dyDescent="0.35">
      <c r="A8" s="525" t="s">
        <v>142</v>
      </c>
      <c r="B8" s="526" t="s">
        <v>143</v>
      </c>
      <c r="E8" s="1018"/>
      <c r="F8" s="1019"/>
    </row>
    <row r="9" spans="1:10" x14ac:dyDescent="0.35">
      <c r="A9" s="261" t="s">
        <v>144</v>
      </c>
      <c r="B9" s="1020">
        <f>F9</f>
        <v>0.84</v>
      </c>
      <c r="E9" s="1021" t="s">
        <v>144</v>
      </c>
      <c r="F9" s="1022">
        <v>0.84</v>
      </c>
    </row>
    <row r="10" spans="1:10" x14ac:dyDescent="0.35">
      <c r="A10" s="261" t="s">
        <v>145</v>
      </c>
      <c r="B10" s="1020">
        <v>1</v>
      </c>
      <c r="E10" s="1023" t="s">
        <v>146</v>
      </c>
      <c r="F10" s="1024">
        <v>1.19</v>
      </c>
    </row>
    <row r="11" spans="1:10" x14ac:dyDescent="0.35">
      <c r="A11" s="261" t="s">
        <v>147</v>
      </c>
      <c r="B11" s="1020">
        <f>F11</f>
        <v>0.72</v>
      </c>
      <c r="E11" s="1025" t="s">
        <v>147</v>
      </c>
      <c r="F11" s="1026">
        <v>0.72</v>
      </c>
    </row>
    <row r="12" spans="1:10" x14ac:dyDescent="0.35">
      <c r="A12" s="1027" t="s">
        <v>148</v>
      </c>
      <c r="B12" s="1020">
        <f>F13</f>
        <v>1.25</v>
      </c>
      <c r="E12" s="1023" t="s">
        <v>149</v>
      </c>
      <c r="F12" s="1024">
        <v>1.38</v>
      </c>
    </row>
    <row r="13" spans="1:10" x14ac:dyDescent="0.35">
      <c r="A13" s="1027" t="s">
        <v>150</v>
      </c>
      <c r="B13" s="1020">
        <f t="shared" ref="B13:B33" si="0">F14</f>
        <v>0.92</v>
      </c>
      <c r="E13" s="1028" t="s">
        <v>148</v>
      </c>
      <c r="F13" s="1026">
        <v>1.25</v>
      </c>
    </row>
    <row r="14" spans="1:10" x14ac:dyDescent="0.35">
      <c r="A14" s="1027" t="s">
        <v>151</v>
      </c>
      <c r="B14" s="1020">
        <f t="shared" si="0"/>
        <v>180</v>
      </c>
      <c r="E14" s="1029" t="s">
        <v>150</v>
      </c>
      <c r="F14" s="1026">
        <v>0.92</v>
      </c>
    </row>
    <row r="15" spans="1:10" x14ac:dyDescent="0.35">
      <c r="A15" s="1027" t="s">
        <v>152</v>
      </c>
      <c r="B15" s="1020">
        <f t="shared" si="0"/>
        <v>76</v>
      </c>
      <c r="E15" s="1029" t="s">
        <v>151</v>
      </c>
      <c r="F15" s="1030">
        <v>180</v>
      </c>
    </row>
    <row r="16" spans="1:10" x14ac:dyDescent="0.35">
      <c r="A16" s="1027" t="s">
        <v>153</v>
      </c>
      <c r="B16" s="1020">
        <f t="shared" si="0"/>
        <v>111</v>
      </c>
      <c r="E16" s="1029" t="s">
        <v>152</v>
      </c>
      <c r="F16" s="1030">
        <v>76</v>
      </c>
    </row>
    <row r="17" spans="1:6" x14ac:dyDescent="0.35">
      <c r="A17" s="1027" t="s">
        <v>154</v>
      </c>
      <c r="B17" s="1020">
        <f t="shared" si="0"/>
        <v>3600</v>
      </c>
      <c r="E17" s="1029" t="s">
        <v>153</v>
      </c>
      <c r="F17" s="1030">
        <v>111</v>
      </c>
    </row>
    <row r="18" spans="1:6" x14ac:dyDescent="0.35">
      <c r="A18" s="1027" t="s">
        <v>155</v>
      </c>
      <c r="B18" s="1020">
        <f t="shared" si="0"/>
        <v>85</v>
      </c>
      <c r="E18" s="1029" t="s">
        <v>154</v>
      </c>
      <c r="F18" s="1030">
        <v>3600</v>
      </c>
    </row>
    <row r="19" spans="1:6" x14ac:dyDescent="0.35">
      <c r="A19" s="1027" t="s">
        <v>156</v>
      </c>
      <c r="B19" s="1020">
        <f t="shared" si="0"/>
        <v>2350</v>
      </c>
      <c r="E19" s="1029" t="s">
        <v>155</v>
      </c>
      <c r="F19" s="1030">
        <v>85</v>
      </c>
    </row>
    <row r="20" spans="1:6" x14ac:dyDescent="0.35">
      <c r="A20" s="1027" t="s">
        <v>157</v>
      </c>
      <c r="B20" s="1020">
        <f t="shared" si="0"/>
        <v>551</v>
      </c>
      <c r="E20" s="1029" t="s">
        <v>156</v>
      </c>
      <c r="F20" s="1030">
        <v>2350</v>
      </c>
    </row>
    <row r="21" spans="1:6" x14ac:dyDescent="0.35">
      <c r="A21" s="1027" t="s">
        <v>158</v>
      </c>
      <c r="B21" s="1020">
        <f t="shared" si="0"/>
        <v>69</v>
      </c>
      <c r="E21" s="1029" t="s">
        <v>157</v>
      </c>
      <c r="F21" s="1030">
        <v>551</v>
      </c>
    </row>
    <row r="22" spans="1:6" x14ac:dyDescent="0.35">
      <c r="A22" s="1027" t="s">
        <v>159</v>
      </c>
      <c r="B22" s="1020">
        <f t="shared" si="0"/>
        <v>16</v>
      </c>
      <c r="E22" s="1029" t="s">
        <v>158</v>
      </c>
      <c r="F22" s="1030">
        <v>69</v>
      </c>
    </row>
    <row r="23" spans="1:6" x14ac:dyDescent="0.35">
      <c r="A23" s="1027" t="s">
        <v>160</v>
      </c>
      <c r="B23" s="1020">
        <f t="shared" si="0"/>
        <v>2750</v>
      </c>
      <c r="E23" s="1029" t="s">
        <v>159</v>
      </c>
      <c r="F23" s="1031">
        <v>16</v>
      </c>
    </row>
    <row r="24" spans="1:6" x14ac:dyDescent="0.35">
      <c r="A24" s="1027" t="s">
        <v>161</v>
      </c>
      <c r="B24" s="1020">
        <f t="shared" si="0"/>
        <v>990</v>
      </c>
      <c r="E24" s="1029" t="s">
        <v>160</v>
      </c>
      <c r="F24" s="1030">
        <v>2750</v>
      </c>
    </row>
    <row r="25" spans="1:6" x14ac:dyDescent="0.35">
      <c r="A25" s="1027" t="s">
        <v>162</v>
      </c>
      <c r="B25" s="1020">
        <f t="shared" si="0"/>
        <v>4000</v>
      </c>
      <c r="E25" s="1029" t="s">
        <v>161</v>
      </c>
      <c r="F25" s="1030">
        <v>990</v>
      </c>
    </row>
    <row r="26" spans="1:6" x14ac:dyDescent="0.35">
      <c r="A26" s="1027" t="s">
        <v>163</v>
      </c>
      <c r="B26" s="1020">
        <f t="shared" si="0"/>
        <v>95</v>
      </c>
      <c r="E26" s="1029" t="s">
        <v>162</v>
      </c>
      <c r="F26" s="1030">
        <v>4000</v>
      </c>
    </row>
    <row r="27" spans="1:6" x14ac:dyDescent="0.35">
      <c r="A27" s="1027" t="s">
        <v>164</v>
      </c>
      <c r="B27" s="1020">
        <f t="shared" si="0"/>
        <v>12</v>
      </c>
      <c r="E27" s="1029" t="s">
        <v>163</v>
      </c>
      <c r="F27" s="1030">
        <v>95</v>
      </c>
    </row>
    <row r="28" spans="1:6" x14ac:dyDescent="0.35">
      <c r="A28" s="1027" t="s">
        <v>165</v>
      </c>
      <c r="B28" s="1020">
        <f t="shared" si="0"/>
        <v>87</v>
      </c>
      <c r="E28" s="1029" t="s">
        <v>164</v>
      </c>
      <c r="F28" s="1031">
        <v>12</v>
      </c>
    </row>
    <row r="29" spans="1:6" x14ac:dyDescent="0.35">
      <c r="A29" s="1027" t="s">
        <v>166</v>
      </c>
      <c r="B29" s="1020">
        <f t="shared" si="0"/>
        <v>3.67</v>
      </c>
      <c r="E29" s="1029" t="s">
        <v>165</v>
      </c>
      <c r="F29" s="1030">
        <v>87</v>
      </c>
    </row>
    <row r="30" spans="1:6" x14ac:dyDescent="0.35">
      <c r="A30" s="1027" t="s">
        <v>167</v>
      </c>
      <c r="B30" s="1020" t="str">
        <f t="shared" si="0"/>
        <v>18.02</v>
      </c>
      <c r="E30" s="1032" t="s">
        <v>166</v>
      </c>
      <c r="F30" s="1026">
        <v>3.67</v>
      </c>
    </row>
    <row r="31" spans="1:6" x14ac:dyDescent="0.35">
      <c r="A31" s="1027" t="s">
        <v>168</v>
      </c>
      <c r="B31" s="1020">
        <f t="shared" si="0"/>
        <v>1990</v>
      </c>
      <c r="E31" s="1029" t="s">
        <v>167</v>
      </c>
      <c r="F31" s="1031" t="s">
        <v>2595</v>
      </c>
    </row>
    <row r="32" spans="1:6" x14ac:dyDescent="0.35">
      <c r="A32" s="1027" t="s">
        <v>169</v>
      </c>
      <c r="B32" s="1020">
        <f t="shared" si="0"/>
        <v>74</v>
      </c>
      <c r="E32" s="1029" t="s">
        <v>168</v>
      </c>
      <c r="F32" s="1030">
        <v>1990</v>
      </c>
    </row>
    <row r="33" spans="1:6" x14ac:dyDescent="0.35">
      <c r="A33" s="1027" t="s">
        <v>170</v>
      </c>
      <c r="B33" s="1020">
        <f t="shared" si="0"/>
        <v>44</v>
      </c>
      <c r="E33" s="1029" t="s">
        <v>169</v>
      </c>
      <c r="F33" s="1030">
        <v>74</v>
      </c>
    </row>
    <row r="34" spans="1:6" x14ac:dyDescent="0.35">
      <c r="A34" s="261" t="str">
        <f>E35</f>
        <v>User defined currency 
from '$ Conversion' sheet</v>
      </c>
      <c r="B34" s="1439" t="str">
        <f>F35</f>
        <v>Enter $ conversion rate</v>
      </c>
      <c r="E34" s="1029" t="s">
        <v>170</v>
      </c>
      <c r="F34" s="1030">
        <v>44</v>
      </c>
    </row>
    <row r="35" spans="1:6" ht="42" customHeight="1" x14ac:dyDescent="0.35">
      <c r="A35" s="261"/>
      <c r="B35" s="524"/>
      <c r="E35" s="1433" t="s">
        <v>171</v>
      </c>
      <c r="F35" s="1432" t="s">
        <v>172</v>
      </c>
    </row>
    <row r="36" spans="1:6" x14ac:dyDescent="0.35">
      <c r="A36" s="261"/>
      <c r="B36" s="524"/>
      <c r="E36" s="1033"/>
      <c r="F36" s="7"/>
    </row>
    <row r="37" spans="1:6" x14ac:dyDescent="0.35">
      <c r="A37" s="261"/>
      <c r="B37" s="524"/>
      <c r="E37" s="1034"/>
    </row>
    <row r="38" spans="1:6" x14ac:dyDescent="0.35">
      <c r="A38" s="261"/>
      <c r="B38" s="524"/>
      <c r="E38" s="1034"/>
    </row>
    <row r="39" spans="1:6" x14ac:dyDescent="0.35">
      <c r="A39" s="261"/>
      <c r="B39" s="524"/>
      <c r="E39" s="1034"/>
    </row>
    <row r="40" spans="1:6" ht="15" thickBot="1" x14ac:dyDescent="0.4">
      <c r="A40" s="527"/>
      <c r="B40" s="528"/>
    </row>
  </sheetData>
  <sheetProtection algorithmName="SHA-512" hashValue="NgLaGGUrQoZ7APZC0cNhRCcMQ/OYJkCtijs8mU1RMNhMCOqRhcQZGEXnPwkgN3f7UjAsHE2lvEdsh3g2X81zCA==" saltValue="HT9FwXUlp9NhdK3NjsBINA==" spinCount="100000" sheet="1" objects="1" scenarios="1"/>
  <protectedRanges>
    <protectedRange sqref="F9:F35 E35" name="Range1"/>
  </protectedRanges>
  <mergeCells count="2">
    <mergeCell ref="F4:F6"/>
    <mergeCell ref="A7:B7"/>
  </mergeCells>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46C28-176B-4909-B07A-16E80AF64C11}">
  <sheetPr codeName="Sheet2">
    <tabColor theme="4" tint="0.39997558519241921"/>
  </sheetPr>
  <dimension ref="A1:R134"/>
  <sheetViews>
    <sheetView topLeftCell="H18" zoomScale="80" zoomScaleNormal="80" workbookViewId="0">
      <selection activeCell="B5" sqref="B5"/>
    </sheetView>
  </sheetViews>
  <sheetFormatPr defaultColWidth="8.81640625" defaultRowHeight="14.5" x14ac:dyDescent="0.35"/>
  <cols>
    <col min="1" max="1" width="32.81640625" customWidth="1"/>
    <col min="2" max="2" width="18.7265625" customWidth="1"/>
    <col min="3" max="3" width="14.7265625" customWidth="1"/>
    <col min="4" max="4" width="10.7265625" customWidth="1"/>
    <col min="5" max="5" width="5.81640625" customWidth="1"/>
    <col min="6" max="6" width="7.7265625" customWidth="1"/>
    <col min="7" max="7" width="17.7265625" customWidth="1"/>
    <col min="8" max="8" width="23.453125" bestFit="1" customWidth="1"/>
    <col min="9" max="9" width="19.81640625" style="567" customWidth="1"/>
    <col min="10" max="10" width="20" customWidth="1"/>
    <col min="11" max="11" width="12.26953125" customWidth="1"/>
    <col min="12" max="12" width="14.453125" hidden="1" customWidth="1"/>
    <col min="13" max="13" width="23.453125" hidden="1" customWidth="1"/>
    <col min="14" max="14" width="11.54296875" customWidth="1"/>
    <col min="15" max="15" width="16.1796875" hidden="1" customWidth="1"/>
    <col min="16" max="16" width="17.453125" hidden="1" customWidth="1"/>
    <col min="17" max="17" width="15.7265625" hidden="1" customWidth="1"/>
    <col min="18" max="18" width="9.1796875" customWidth="1"/>
  </cols>
  <sheetData>
    <row r="1" spans="1:17" ht="19" thickBot="1" x14ac:dyDescent="0.5">
      <c r="A1" s="322" t="s">
        <v>173</v>
      </c>
      <c r="B1" s="312"/>
      <c r="C1" s="312"/>
      <c r="D1" s="7"/>
      <c r="E1" s="7"/>
      <c r="F1" s="7"/>
      <c r="G1" s="7"/>
      <c r="H1" s="7"/>
      <c r="I1" s="562"/>
    </row>
    <row r="2" spans="1:17" s="4" customFormat="1" ht="63.75" customHeight="1" thickBot="1" x14ac:dyDescent="0.4">
      <c r="A2" s="1657" t="s">
        <v>174</v>
      </c>
      <c r="B2" s="1658"/>
      <c r="C2" s="1658"/>
      <c r="D2" s="1658"/>
      <c r="E2" s="1658"/>
      <c r="F2" s="1658"/>
      <c r="G2" s="1658"/>
      <c r="H2" s="1658"/>
      <c r="I2" s="1659"/>
    </row>
    <row r="3" spans="1:17" s="4" customFormat="1" ht="18.75" customHeight="1" thickBot="1" x14ac:dyDescent="0.4">
      <c r="A3" s="552"/>
      <c r="B3" s="552"/>
      <c r="C3" s="552"/>
      <c r="D3" s="552"/>
      <c r="E3" s="552"/>
      <c r="F3" s="552"/>
      <c r="G3" s="552"/>
      <c r="H3" s="552"/>
      <c r="I3" s="563"/>
    </row>
    <row r="4" spans="1:17" ht="45" customHeight="1" thickBot="1" x14ac:dyDescent="0.4">
      <c r="A4" s="872" t="s">
        <v>175</v>
      </c>
      <c r="B4" s="1665" t="s">
        <v>176</v>
      </c>
      <c r="C4" s="1666"/>
      <c r="D4" s="1666"/>
      <c r="E4" s="1666"/>
      <c r="F4" s="1666"/>
      <c r="G4" s="392"/>
      <c r="H4" s="7"/>
      <c r="I4" s="562"/>
      <c r="L4" s="555" t="s">
        <v>177</v>
      </c>
      <c r="O4" s="1317" t="s">
        <v>178</v>
      </c>
      <c r="P4" s="1318" t="s">
        <v>179</v>
      </c>
      <c r="Q4" s="1319" t="s">
        <v>180</v>
      </c>
    </row>
    <row r="5" spans="1:17" ht="16.5" x14ac:dyDescent="0.45">
      <c r="A5" s="1660" t="s">
        <v>181</v>
      </c>
      <c r="B5" s="483" t="s">
        <v>182</v>
      </c>
      <c r="C5" s="484"/>
      <c r="D5" s="484"/>
      <c r="E5" s="484"/>
      <c r="F5" s="485"/>
      <c r="G5" s="564">
        <f>Energy!B6</f>
        <v>1.1031040000000001</v>
      </c>
      <c r="H5" s="7" t="s">
        <v>183</v>
      </c>
      <c r="I5" s="562"/>
      <c r="L5" s="556">
        <f>IFERROR((M5/Energy!B6),"")</f>
        <v>0.54736842105263162</v>
      </c>
      <c r="M5" s="970">
        <f>IFERROR((Energy!B9*Energy!B6),"")</f>
        <v>0.60380429473684216</v>
      </c>
      <c r="N5" s="706"/>
      <c r="O5" s="432">
        <f>SUMIF(Energy!$P82:$P258,"Scope 1",Energy!U82:U258)+SUMIF(Energy!$Q82:$Q258,"Scope 1",Energy!U82:U258)</f>
        <v>1089.6679999999999</v>
      </c>
      <c r="P5" s="433">
        <f>SUMIF(Energy!$P82:$P258,"Scope 1",Energy!V82:V258)+SUMIF(Energy!$Q82:$Q258,"Scope 1",Energy!V82:V258)</f>
        <v>1.1280000000000001</v>
      </c>
      <c r="Q5" s="206">
        <f>SUMIF(Energy!$P82:$P258,"Scope 1",Energy!W82:W258)+SUMIF(Energy!$Q82:$Q258,"Scope 1",Energy!W82:W258)</f>
        <v>12.308</v>
      </c>
    </row>
    <row r="6" spans="1:17" ht="16.5" x14ac:dyDescent="0.45">
      <c r="A6" s="1661"/>
      <c r="B6" s="540" t="s">
        <v>184</v>
      </c>
      <c r="C6" s="541"/>
      <c r="D6" s="541"/>
      <c r="E6" s="541"/>
      <c r="F6" s="542"/>
      <c r="G6" s="565">
        <f>'Vehicle-Fuel'!B6+'Vehicle-Fuel'!B7+'Vehicle-Distance'!B7</f>
        <v>0.92586800000000002</v>
      </c>
      <c r="H6" s="7" t="s">
        <v>183</v>
      </c>
      <c r="I6" s="562"/>
      <c r="L6" s="557">
        <f>IFERROR((M6/('Vehicle-Distance'!B7+'Vehicle-Fuel'!B6)),"")</f>
        <v>0.66666666666666663</v>
      </c>
      <c r="M6" s="971">
        <f>IFERROR(('Vehicle-Fuel'!B9*'Vehicle-Fuel'!B6)+('Vehicle-Distance'!B7*'Vehicle-Distance'!B9),"")</f>
        <v>0.61724533333333331</v>
      </c>
      <c r="N6" s="706"/>
      <c r="O6" s="217">
        <f>SUMIF('Vehicle-Fuel'!$T13:$T60,"Scope 1",'Vehicle-Fuel'!$W13:$W60)+SUMIF('Vehicle-Distance'!$M14:$M61,"Scope 1",'Vehicle-Distance'!$O14:$O61)</f>
        <v>920.70399999999995</v>
      </c>
      <c r="P6" s="165">
        <f>SUMIF('Vehicle-Fuel'!$T13:$T60,"Scope 1",'Vehicle-Fuel'!$W13:$W60)+SUMIF('Vehicle-Distance'!$M14:$M61,"Scope 1",'Vehicle-Distance'!$O14:$O61)</f>
        <v>920.70399999999995</v>
      </c>
      <c r="Q6" s="181">
        <f>SUMIF('Vehicle-Fuel'!$T13:$T60,"Scope 1",'Vehicle-Fuel'!$W13:$W60)+SUMIF('Vehicle-Distance'!$M14:$M61,"Scope 1",'Vehicle-Distance'!$O14:$O61)</f>
        <v>920.70399999999995</v>
      </c>
    </row>
    <row r="7" spans="1:17" ht="16.5" x14ac:dyDescent="0.45">
      <c r="A7" s="1661"/>
      <c r="B7" s="540" t="s">
        <v>185</v>
      </c>
      <c r="C7" s="541"/>
      <c r="D7" s="541"/>
      <c r="E7" s="541"/>
      <c r="F7" s="542"/>
      <c r="G7" s="565">
        <f>'Refrigerant gases'!B6</f>
        <v>1.38</v>
      </c>
      <c r="H7" s="7" t="s">
        <v>183</v>
      </c>
      <c r="I7" s="562"/>
      <c r="L7" s="557">
        <f>IFERROR(((M7/'Refrigerant gases'!B8)/100),"")</f>
        <v>1.38E-2</v>
      </c>
      <c r="M7" s="971">
        <f>IFERROR(('Refrigerant gases'!B8*'Refrigerant gases'!B6),"")</f>
        <v>1.38</v>
      </c>
      <c r="N7" s="706"/>
      <c r="O7" s="235"/>
      <c r="P7" s="158"/>
      <c r="Q7" s="262"/>
    </row>
    <row r="8" spans="1:17" ht="16.5" x14ac:dyDescent="0.45">
      <c r="A8" s="1661"/>
      <c r="B8" s="540" t="s">
        <v>186</v>
      </c>
      <c r="C8" s="541"/>
      <c r="D8" s="541"/>
      <c r="E8" s="541"/>
      <c r="F8" s="542"/>
      <c r="G8" s="568">
        <f>Waste!B7</f>
        <v>0</v>
      </c>
      <c r="H8" s="7" t="s">
        <v>183</v>
      </c>
      <c r="I8" s="562"/>
      <c r="L8" s="557" t="str">
        <f>IFERROR((M8/Waste!B7),"")</f>
        <v/>
      </c>
      <c r="M8" s="971" t="str">
        <f>IFERROR((Waste!B13*Waste!B7),"")</f>
        <v/>
      </c>
      <c r="N8" s="706"/>
      <c r="O8" s="217">
        <f>SUMIF(Waste!$O$17:$O$108,"Scope 1",Waste!$R$17:$R$108)</f>
        <v>0</v>
      </c>
      <c r="P8" s="165">
        <f>SUMIF(Waste!$O$17:$O$108,"Scope 1",Waste!$S$17:$S$108)</f>
        <v>0</v>
      </c>
      <c r="Q8" s="181">
        <f>SUMIF(Waste!$O$17:$O$108,"Scope 1",Waste!$T$17:$T$108)</f>
        <v>0</v>
      </c>
    </row>
    <row r="9" spans="1:17" ht="17" thickBot="1" x14ac:dyDescent="0.5">
      <c r="A9" s="1662"/>
      <c r="B9" s="1262" t="s">
        <v>187</v>
      </c>
      <c r="C9" s="1263"/>
      <c r="D9" s="1263"/>
      <c r="E9" s="1263"/>
      <c r="F9" s="1264"/>
      <c r="G9" s="568">
        <f>'Anaesthetic gases'!B6</f>
        <v>0</v>
      </c>
      <c r="H9" s="7" t="s">
        <v>183</v>
      </c>
      <c r="I9" s="562"/>
      <c r="L9" s="558" t="str">
        <f>IFERROR((M9/'Anaesthetic gases'!B6),"")</f>
        <v/>
      </c>
      <c r="M9" s="971" t="str">
        <f>IFERROR(('Anaesthetic gases'!B7*'Anaesthetic gases'!B6),"")</f>
        <v/>
      </c>
      <c r="N9" s="706"/>
      <c r="O9" s="946"/>
      <c r="P9" s="228"/>
      <c r="Q9" s="796">
        <f>SUM('Anaesthetic gases'!V11:V54)</f>
        <v>0</v>
      </c>
    </row>
    <row r="10" spans="1:17" ht="16.5" x14ac:dyDescent="0.45">
      <c r="A10" s="1670" t="s">
        <v>188</v>
      </c>
      <c r="B10" s="1672" t="s">
        <v>189</v>
      </c>
      <c r="C10" s="1673"/>
      <c r="D10" s="1673"/>
      <c r="E10" s="1673"/>
      <c r="F10" s="1674"/>
      <c r="G10" s="564">
        <f>(SUMIF(Energy!P16:P46,"Scope 2",Energy!O16:O46)+SUMIF(Energy!Q16:Q46,"Scope 2",Energy!O16:O46))/1000</f>
        <v>0</v>
      </c>
      <c r="H10" s="7" t="s">
        <v>183</v>
      </c>
      <c r="I10" s="562"/>
      <c r="L10" s="1655" t="str">
        <f>IFERROR((M10/Energy!B7),"")</f>
        <v/>
      </c>
      <c r="M10" s="1653">
        <f>IFERROR((Energy!B9*Energy!B7),"")</f>
        <v>0</v>
      </c>
      <c r="N10" s="706"/>
      <c r="O10" s="216">
        <f>SUMIF(Energy!$P16:$P46,"Scope 2",Energy!U87:U263)+SUMIF(Energy!$Q16:$Q46,"Scope 2",Energy!U87:U263)</f>
        <v>0</v>
      </c>
      <c r="P10" s="204">
        <f>SUMIF(Energy!$P16:$P46,"Scope 2",Energy!V87:V263)+SUMIF(Energy!$Q16:$Q46,"Scope 2",Energy!V87:V263)</f>
        <v>0</v>
      </c>
      <c r="Q10" s="205">
        <f>SUMIF(Energy!$P16:$P46,"Scope 2",Energy!W87:W263)+SUMIF(Energy!$Q16:$Q46,"Scope 2",Energy!W87:W263)</f>
        <v>0</v>
      </c>
    </row>
    <row r="11" spans="1:17" ht="17" thickBot="1" x14ac:dyDescent="0.5">
      <c r="A11" s="1671"/>
      <c r="B11" s="1675" t="s">
        <v>190</v>
      </c>
      <c r="C11" s="1676"/>
      <c r="D11" s="1676"/>
      <c r="E11" s="1676"/>
      <c r="F11" s="1677"/>
      <c r="G11" s="566">
        <f>(SUMIF(Energy!P226:P258,"Scope 2",Energy!O226:O258)+SUMIF(Energy!Q226:Q258,"Scope 2",Energy!O226:O258))/1000</f>
        <v>0</v>
      </c>
      <c r="H11" s="7" t="s">
        <v>183</v>
      </c>
      <c r="I11" s="562"/>
      <c r="L11" s="1656"/>
      <c r="M11" s="1654"/>
      <c r="N11" s="706"/>
      <c r="O11" s="218">
        <f>SUMIF(Energy!P229:P258,"Scope 2",Energy!U229:U258)+SUMIF(Energy!Q229:Q258,"Scope 2",Energy!U229:U258)</f>
        <v>0</v>
      </c>
      <c r="P11" s="182">
        <f>SUMIF(Energy!P229:P258,"Scope 2",Energy!V229:V258)+SUMIF(Energy!Q229:Q258,"Scope 2",Energy!V229:V258)</f>
        <v>0</v>
      </c>
      <c r="Q11" s="185">
        <f>SUMIF(Energy!P229:P258,"Scope 2",Energy!W229:W258)+SUMIF(Energy!Q229:Q258,"Scope 2",Energy!W229:W258)</f>
        <v>0</v>
      </c>
    </row>
    <row r="12" spans="1:17" ht="17" thickBot="1" x14ac:dyDescent="0.5">
      <c r="A12" s="1647" t="s">
        <v>191</v>
      </c>
      <c r="B12" s="1663"/>
      <c r="C12" s="1663"/>
      <c r="D12" s="1663"/>
      <c r="E12" s="1663"/>
      <c r="F12" s="1664"/>
      <c r="G12" s="1312">
        <f>SUM(G5:G11)</f>
        <v>3.4089719999999999</v>
      </c>
      <c r="H12" s="7" t="s">
        <v>183</v>
      </c>
      <c r="I12" s="562"/>
      <c r="L12" s="559">
        <f>IFERROR((M12/G12),"")</f>
        <v>0.7630011710480975</v>
      </c>
      <c r="M12" s="972">
        <f>SUM(M5:M10)</f>
        <v>2.6010496280701751</v>
      </c>
      <c r="N12" s="706"/>
      <c r="O12" s="1309">
        <f>SUM(O5:O11)</f>
        <v>2010.3719999999998</v>
      </c>
      <c r="P12" s="1310">
        <f t="shared" ref="P12:Q12" si="0">SUM(P5:P11)</f>
        <v>921.83199999999999</v>
      </c>
      <c r="Q12" s="1311">
        <f t="shared" si="0"/>
        <v>933.01199999999994</v>
      </c>
    </row>
    <row r="13" spans="1:17" ht="16.5" x14ac:dyDescent="0.45">
      <c r="A13" s="1660" t="s">
        <v>192</v>
      </c>
      <c r="B13" s="1678" t="s">
        <v>193</v>
      </c>
      <c r="C13" s="1679"/>
      <c r="D13" s="1679"/>
      <c r="E13" s="1679"/>
      <c r="F13" s="1680"/>
      <c r="G13" s="564">
        <f>Energy!B8</f>
        <v>0</v>
      </c>
      <c r="H13" s="7" t="s">
        <v>183</v>
      </c>
      <c r="I13" s="562"/>
      <c r="L13" s="560" t="str">
        <f>IFERROR((M13/Energy!B8),"")</f>
        <v/>
      </c>
      <c r="M13" s="973">
        <f>IFERROR((Energy!B8*Energy!B9),"")</f>
        <v>0</v>
      </c>
      <c r="N13" s="706"/>
      <c r="O13" s="432">
        <f>SUMIF(Energy!$P90:$P266,"Scope 3",Energy!U90:U266)+SUMIF(Energy!$Q90:$Q266,"Scope 3",Energy!U90:U266)+SUMIF(Energy!$P16:$P46,"Scope 3",Energy!U87:U263)+SUMIF(Energy!$Q16:$Q46,"Scope 3",Energy!U87:U263)</f>
        <v>0</v>
      </c>
      <c r="P13" s="433">
        <f>SUMIF(Energy!$P90:$P266,"Scope 3",Energy!V90:V266)+SUMIF(Energy!$Q90:$Q266,"Scope 3",Energy!V90:V266)+SUMIF(Energy!$P16:$P46,"Scope 3",Energy!V87:V263)+SUMIF(Energy!$Q16:$Q46,"Scope 3",Energy!V87:V263)</f>
        <v>0</v>
      </c>
      <c r="Q13" s="206">
        <f>SUMIF(Energy!$P90:$P266,"Scope 3",Energy!W90:W266)+SUMIF(Energy!$Q90:$Q266,"Scope 3",Energy!W90:W266)+SUMIF(Energy!$P16:$P46,"Scope 3",Energy!W87:W263)+SUMIF(Energy!$Q16:$Q46,"Scope 3",Energy!W87:W263)</f>
        <v>0</v>
      </c>
    </row>
    <row r="14" spans="1:17" ht="16.5" x14ac:dyDescent="0.45">
      <c r="A14" s="1661"/>
      <c r="B14" s="1667" t="s">
        <v>194</v>
      </c>
      <c r="C14" s="1668"/>
      <c r="D14" s="1668"/>
      <c r="E14" s="1668"/>
      <c r="F14" s="1669"/>
      <c r="G14" s="565">
        <f>'Refrigerant gases'!B7</f>
        <v>0</v>
      </c>
      <c r="H14" s="7" t="s">
        <v>183</v>
      </c>
      <c r="I14" s="562"/>
      <c r="L14" s="557">
        <f>IFERROR((M14/'Refrigerant gases'!B8),"")</f>
        <v>0</v>
      </c>
      <c r="M14" s="971">
        <f>IFERROR(('Refrigerant gases'!B7*'Refrigerant gases'!B8),"")</f>
        <v>0</v>
      </c>
      <c r="N14" s="706"/>
      <c r="O14" s="235"/>
      <c r="P14" s="158"/>
      <c r="Q14" s="262"/>
    </row>
    <row r="15" spans="1:17" ht="17" thickBot="1" x14ac:dyDescent="0.5">
      <c r="A15" s="1661"/>
      <c r="B15" s="1667" t="s">
        <v>195</v>
      </c>
      <c r="C15" s="1668"/>
      <c r="D15" s="1668"/>
      <c r="E15" s="1668"/>
      <c r="F15" s="1669"/>
      <c r="G15" s="565">
        <f>'Vehicle-Fuel'!B8+'Vehicle-Distance'!B8</f>
        <v>0</v>
      </c>
      <c r="H15" s="7" t="s">
        <v>183</v>
      </c>
      <c r="I15" s="562"/>
      <c r="L15" s="557" t="str">
        <f>IFERROR((M15/SUM('Vehicle-Fuel'!B8,'Vehicle-Distance'!B8)),"")</f>
        <v/>
      </c>
      <c r="M15" s="971">
        <f>IFERROR((('Vehicle-Fuel'!B8*'Vehicle-Fuel'!B9)+('Vehicle-Distance'!B8*'Vehicle-Distance'!B9)),"")</f>
        <v>0</v>
      </c>
      <c r="N15" s="706"/>
      <c r="O15" s="217">
        <f>SUMIF('Vehicle-Fuel'!$T22:$T69,"Scope 3",'Vehicle-Fuel'!$W22:$W69)+SUMIF('Vehicle-Distance'!$M23:$M70,"Scope 3",'Vehicle-Distance'!$O23:$O70)</f>
        <v>0</v>
      </c>
      <c r="P15" s="165">
        <f>SUMIF('Vehicle-Fuel'!$T22:$T69,"Scope 3",'Vehicle-Fuel'!$W22:$W69)+SUMIF('Vehicle-Distance'!$M23:$M70,"Scope 3",'Vehicle-Distance'!$O23:$O70)</f>
        <v>0</v>
      </c>
      <c r="Q15" s="181">
        <f>SUMIF('Vehicle-Fuel'!$T22:$T69,"Scope 3",'Vehicle-Fuel'!$W22:$W69)+SUMIF('Vehicle-Distance'!$M23:$M70,"Scope 3",'Vehicle-Distance'!$O23:$O70)</f>
        <v>0</v>
      </c>
    </row>
    <row r="16" spans="1:17" ht="16.5" x14ac:dyDescent="0.45">
      <c r="A16" s="1661"/>
      <c r="B16" s="1650" t="s">
        <v>196</v>
      </c>
      <c r="C16" s="1651"/>
      <c r="D16" s="1651"/>
      <c r="E16" s="1651"/>
      <c r="F16" s="1652"/>
      <c r="G16" s="565">
        <f>'Travel-Other vehicles'!B7</f>
        <v>0</v>
      </c>
      <c r="H16" s="7" t="s">
        <v>183</v>
      </c>
      <c r="I16" s="564">
        <f>SUM('Travel-Other vehicles'!F12:F59)</f>
        <v>217896</v>
      </c>
      <c r="J16" t="s">
        <v>197</v>
      </c>
      <c r="L16" s="557" t="str">
        <f>IFERROR((M16/'Travel-Other vehicles'!B7),"")</f>
        <v/>
      </c>
      <c r="M16" s="971">
        <f>IFERROR(('Travel-Other vehicles'!B7*'Travel-Other vehicles'!B8),"")</f>
        <v>0</v>
      </c>
      <c r="N16" s="706"/>
      <c r="O16" s="217">
        <f>SUM('Travel-Other vehicles'!N12:N59)</f>
        <v>0</v>
      </c>
      <c r="P16" s="165">
        <f>SUM('Travel-Other vehicles'!O12:O59)</f>
        <v>0</v>
      </c>
      <c r="Q16" s="181">
        <f>SUM('Travel-Other vehicles'!P12:P59)</f>
        <v>0</v>
      </c>
    </row>
    <row r="17" spans="1:18" ht="16.5" x14ac:dyDescent="0.45">
      <c r="A17" s="1661"/>
      <c r="B17" s="1650" t="s">
        <v>198</v>
      </c>
      <c r="C17" s="1651"/>
      <c r="D17" s="1651"/>
      <c r="E17" s="1651"/>
      <c r="F17" s="1652"/>
      <c r="G17" s="565">
        <f>'Water '!B6</f>
        <v>0</v>
      </c>
      <c r="H17" s="7" t="s">
        <v>183</v>
      </c>
      <c r="I17" s="565">
        <f>SUM('Water '!B7:B9)</f>
        <v>0</v>
      </c>
      <c r="J17" t="s">
        <v>199</v>
      </c>
      <c r="L17" s="557" t="s">
        <v>200</v>
      </c>
      <c r="M17" s="971" t="s">
        <v>200</v>
      </c>
      <c r="N17" s="706"/>
      <c r="O17" s="235"/>
      <c r="P17" s="158"/>
      <c r="Q17" s="262"/>
    </row>
    <row r="18" spans="1:18" ht="16.5" x14ac:dyDescent="0.45">
      <c r="A18" s="1661"/>
      <c r="B18" s="1650" t="s">
        <v>201</v>
      </c>
      <c r="C18" s="1651"/>
      <c r="D18" s="1651"/>
      <c r="E18" s="1651"/>
      <c r="F18" s="1652"/>
      <c r="G18" s="565">
        <f>Waste!B6</f>
        <v>0</v>
      </c>
      <c r="H18" s="7" t="s">
        <v>183</v>
      </c>
      <c r="I18" s="565">
        <f>Waste!B12</f>
        <v>0</v>
      </c>
      <c r="J18" t="s">
        <v>202</v>
      </c>
      <c r="L18" s="557" t="str">
        <f>IFERROR((M18/Waste!B6),"")</f>
        <v/>
      </c>
      <c r="M18" s="971" t="str">
        <f>IFERROR((Waste!B6*Waste!B13),"")</f>
        <v/>
      </c>
      <c r="N18" s="706"/>
      <c r="O18" s="217">
        <f>SUMIF(Waste!$O$17:$O$108,"Scope 3",Waste!$R$17:$R$108)</f>
        <v>0</v>
      </c>
      <c r="P18" s="165">
        <f>SUMIF(Waste!$O$17:$O$108,"Scope 3",Waste!$S$17:$S$108)</f>
        <v>0</v>
      </c>
      <c r="Q18" s="181">
        <f>SUMIF(Waste!$O$17:$O$108,"Scope 3",Waste!$T$17:$T$108)</f>
        <v>0</v>
      </c>
    </row>
    <row r="19" spans="1:18" ht="17" thickBot="1" x14ac:dyDescent="0.5">
      <c r="A19" s="1661"/>
      <c r="B19" s="1650" t="s">
        <v>203</v>
      </c>
      <c r="C19" s="1651"/>
      <c r="D19" s="1651"/>
      <c r="E19" s="1651"/>
      <c r="F19" s="1652"/>
      <c r="G19" s="565">
        <f>'Contractor Logistics'!B7</f>
        <v>0</v>
      </c>
      <c r="H19" s="7" t="s">
        <v>183</v>
      </c>
      <c r="I19" s="566">
        <f>SUM('Contractor Logistics'!C12:C59)</f>
        <v>0</v>
      </c>
      <c r="J19" t="s">
        <v>197</v>
      </c>
      <c r="L19" s="557" t="str">
        <f>IFERROR((M19/'Contractor Logistics'!B7),"")</f>
        <v/>
      </c>
      <c r="M19" s="971" t="str">
        <f>IFERROR(('Contractor Logistics'!B7*'Contractor Logistics'!B8),"")</f>
        <v/>
      </c>
      <c r="N19" s="706"/>
      <c r="O19" s="217">
        <f>SUM('Contractor Logistics'!L12:L59)</f>
        <v>0</v>
      </c>
      <c r="P19" s="165">
        <f>SUM('Contractor Logistics'!M12:M59)</f>
        <v>0</v>
      </c>
      <c r="Q19" s="181">
        <f>SUM('Contractor Logistics'!N12:N59)</f>
        <v>0</v>
      </c>
    </row>
    <row r="20" spans="1:18" ht="17" thickBot="1" x14ac:dyDescent="0.5">
      <c r="A20" s="1661"/>
      <c r="B20" s="1650" t="s">
        <v>204</v>
      </c>
      <c r="C20" s="1651"/>
      <c r="D20" s="1651"/>
      <c r="E20" s="1651"/>
      <c r="F20" s="1652"/>
      <c r="G20" s="565">
        <f>SUM(Inhalers!B7:B8)</f>
        <v>0</v>
      </c>
      <c r="H20" s="7" t="s">
        <v>183</v>
      </c>
      <c r="I20" s="562"/>
      <c r="L20" s="707" t="s">
        <v>200</v>
      </c>
      <c r="M20" s="972"/>
      <c r="N20" s="706"/>
      <c r="O20" s="235"/>
      <c r="P20" s="158"/>
      <c r="Q20" s="262"/>
    </row>
    <row r="21" spans="1:18" ht="17" thickBot="1" x14ac:dyDescent="0.5">
      <c r="A21" s="1662"/>
      <c r="B21" s="1675" t="s">
        <v>205</v>
      </c>
      <c r="C21" s="1676"/>
      <c r="D21" s="1676"/>
      <c r="E21" s="1676"/>
      <c r="F21" s="1681"/>
      <c r="G21" s="568" cm="1">
        <f t="array" ref="G21">_xlfn.IFS('Supply Chain Totals'!F7='Supply Chain Totals'!F9,'Supply Chain Totals'!F7,'Supply Chain Totals'!F7&lt;&gt;'Supply Chain Totals'!F9,'Supply Chain Totals'!F9)</f>
        <v>0</v>
      </c>
      <c r="H21" s="7" t="s">
        <v>183</v>
      </c>
      <c r="I21" s="562"/>
      <c r="L21" s="1104"/>
      <c r="M21" s="1105"/>
      <c r="N21" s="706"/>
      <c r="O21" s="1320"/>
      <c r="P21" s="228"/>
      <c r="Q21" s="1038"/>
    </row>
    <row r="22" spans="1:18" ht="17" thickBot="1" x14ac:dyDescent="0.5">
      <c r="A22" s="1647" t="s">
        <v>206</v>
      </c>
      <c r="B22" s="1648"/>
      <c r="C22" s="1648"/>
      <c r="D22" s="1648"/>
      <c r="E22" s="1648"/>
      <c r="F22" s="1649"/>
      <c r="G22" s="1313">
        <f>SUM(G13:G21)</f>
        <v>0</v>
      </c>
      <c r="H22" s="7" t="s">
        <v>183</v>
      </c>
      <c r="I22" s="562"/>
      <c r="L22" s="560" t="str">
        <f>IFERROR((M22/G22),"")</f>
        <v/>
      </c>
      <c r="M22" s="973">
        <f>IFERROR((SUM(M13:M19)),"")</f>
        <v>0</v>
      </c>
      <c r="N22" s="706"/>
      <c r="O22" s="1309">
        <f>SUM(O13:O21)</f>
        <v>0</v>
      </c>
      <c r="P22" s="1310">
        <f>SUM(P13:P21)</f>
        <v>0</v>
      </c>
      <c r="Q22" s="1311">
        <f>SUM(Q13:Q21)</f>
        <v>0</v>
      </c>
    </row>
    <row r="23" spans="1:18" ht="17" thickBot="1" x14ac:dyDescent="0.5">
      <c r="A23" s="1647" t="s">
        <v>207</v>
      </c>
      <c r="B23" s="1648"/>
      <c r="C23" s="1648"/>
      <c r="D23" s="1648"/>
      <c r="E23" s="1648"/>
      <c r="F23" s="1649"/>
      <c r="G23" s="1313">
        <f>SUM(G22,G12)</f>
        <v>3.4089719999999999</v>
      </c>
      <c r="H23" s="7" t="s">
        <v>183</v>
      </c>
      <c r="L23" s="561">
        <f>IFERROR((M23/G23),"")</f>
        <v>0.7630011710480975</v>
      </c>
      <c r="M23" s="974">
        <f>IFERROR((SUM(M22,M12)),"")</f>
        <v>2.6010496280701751</v>
      </c>
      <c r="N23" s="706"/>
      <c r="O23" s="1316">
        <f>SUM(O12,O22)</f>
        <v>2010.3719999999998</v>
      </c>
      <c r="P23" s="1314">
        <f>SUM(P12,P22)</f>
        <v>921.83199999999999</v>
      </c>
      <c r="Q23" s="1315">
        <f>SUM(Q12,Q22)</f>
        <v>933.01199999999994</v>
      </c>
    </row>
    <row r="24" spans="1:18" ht="15" thickBot="1" x14ac:dyDescent="0.4">
      <c r="G24" s="567"/>
      <c r="H24" s="7"/>
      <c r="I24" s="562"/>
    </row>
    <row r="25" spans="1:18" ht="15" thickBot="1" x14ac:dyDescent="0.4">
      <c r="A25" s="393" t="s">
        <v>208</v>
      </c>
      <c r="B25" s="390" t="s">
        <v>209</v>
      </c>
      <c r="C25" s="391"/>
      <c r="D25" s="391"/>
      <c r="E25" s="391"/>
      <c r="F25" s="392"/>
      <c r="G25" s="569">
        <f>SUM(Energy!E49:E78)</f>
        <v>600</v>
      </c>
      <c r="H25" s="7" t="s">
        <v>210</v>
      </c>
    </row>
    <row r="27" spans="1:18" ht="15" thickBot="1" x14ac:dyDescent="0.4"/>
    <row r="28" spans="1:18" s="4" customFormat="1" ht="24.75" customHeight="1" thickBot="1" x14ac:dyDescent="0.4">
      <c r="A28" s="1151" t="s">
        <v>211</v>
      </c>
      <c r="B28" s="1203"/>
      <c r="C28" s="1203"/>
      <c r="D28" s="1203"/>
      <c r="E28" s="1203"/>
      <c r="F28" s="1204"/>
      <c r="G28" s="1201">
        <f>SUM(G5:G9)</f>
        <v>3.4089719999999999</v>
      </c>
      <c r="L28"/>
      <c r="M28"/>
      <c r="N28"/>
      <c r="O28"/>
      <c r="P28"/>
      <c r="Q28"/>
      <c r="R28"/>
    </row>
    <row r="29" spans="1:18" ht="21.75" customHeight="1" thickBot="1" x14ac:dyDescent="0.4">
      <c r="A29" s="1209" t="s">
        <v>212</v>
      </c>
      <c r="B29" s="1210"/>
      <c r="C29" s="1210"/>
      <c r="D29" s="1210"/>
      <c r="E29" s="1210"/>
      <c r="F29" s="1211"/>
      <c r="G29" s="1202">
        <f>SUM(G10:G11)</f>
        <v>0</v>
      </c>
      <c r="M29" s="967" t="e">
        <f>Buildings!#REF!</f>
        <v>#REF!</v>
      </c>
      <c r="N29" s="4"/>
    </row>
    <row r="30" spans="1:18" ht="23.25" customHeight="1" thickBot="1" x14ac:dyDescent="0.4">
      <c r="A30" s="1205" t="s">
        <v>206</v>
      </c>
      <c r="B30" s="1206"/>
      <c r="C30" s="1206"/>
      <c r="D30" s="1206"/>
      <c r="E30" s="1206"/>
      <c r="F30" s="1207"/>
      <c r="G30" s="1208">
        <f>G22</f>
        <v>0</v>
      </c>
      <c r="M30" s="968" t="s">
        <v>213</v>
      </c>
      <c r="N30" s="965"/>
    </row>
    <row r="31" spans="1:18" ht="47.25" customHeight="1" thickBot="1" x14ac:dyDescent="0.4">
      <c r="M31" s="969" t="e">
        <f>(VLOOKUP('Supply Chain Totals'!E4,'Procurement properties_T1'!G35:M47,5,0))</f>
        <v>#N/A</v>
      </c>
      <c r="N31" s="966"/>
    </row>
    <row r="32" spans="1:18" ht="54" customHeight="1" x14ac:dyDescent="0.35"/>
    <row r="33" spans="13:14" ht="51.75" customHeight="1" x14ac:dyDescent="0.35"/>
    <row r="34" spans="13:14" ht="72.75" customHeight="1" x14ac:dyDescent="0.35"/>
    <row r="35" spans="13:14" ht="48.75" customHeight="1" x14ac:dyDescent="0.35"/>
    <row r="37" spans="13:14" x14ac:dyDescent="0.35">
      <c r="M37" s="567"/>
      <c r="N37" s="710"/>
    </row>
    <row r="63" spans="4:4" x14ac:dyDescent="0.35">
      <c r="D63" s="710"/>
    </row>
    <row r="64" spans="4:4" x14ac:dyDescent="0.35">
      <c r="D64" s="710"/>
    </row>
    <row r="127" spans="2:2" x14ac:dyDescent="0.35">
      <c r="B127" t="str">
        <f>Procurement_T2!M103</f>
        <v/>
      </c>
    </row>
    <row r="128" spans="2:2" x14ac:dyDescent="0.35">
      <c r="B128" t="str">
        <f>Procurement_T2!M104</f>
        <v/>
      </c>
    </row>
    <row r="129" spans="2:2" x14ac:dyDescent="0.35">
      <c r="B129" t="str">
        <f>Procurement_T2!M105</f>
        <v/>
      </c>
    </row>
    <row r="130" spans="2:2" x14ac:dyDescent="0.35">
      <c r="B130" t="str">
        <f>Procurement_T2!M106</f>
        <v/>
      </c>
    </row>
    <row r="131" spans="2:2" x14ac:dyDescent="0.35">
      <c r="B131" t="str">
        <f>Procurement_T2!M107</f>
        <v/>
      </c>
    </row>
    <row r="132" spans="2:2" x14ac:dyDescent="0.35">
      <c r="B132" t="str">
        <f>Procurement_T2!M108</f>
        <v/>
      </c>
    </row>
    <row r="133" spans="2:2" x14ac:dyDescent="0.35">
      <c r="B133" t="str">
        <f>Procurement_T2!M109</f>
        <v/>
      </c>
    </row>
    <row r="134" spans="2:2" x14ac:dyDescent="0.35">
      <c r="B134" t="str">
        <f>Procurement_T2!M110</f>
        <v/>
      </c>
    </row>
  </sheetData>
  <sheetProtection algorithmName="SHA-512" hashValue="XmceV0uIciNXafpWs7NDvsL29YsiWcyDKillp2I5qqc4+wHx3zxXAhVzFr7dPL5lkXq/nM8YJ3AcRwp2xMld0Q==" saltValue="4QFXM2TMDkjnRKyg7LwrQA==" spinCount="100000" sheet="1" autoFilter="0"/>
  <mergeCells count="21">
    <mergeCell ref="A2:I2"/>
    <mergeCell ref="B16:F16"/>
    <mergeCell ref="B17:F17"/>
    <mergeCell ref="B18:F18"/>
    <mergeCell ref="A5:A9"/>
    <mergeCell ref="A12:F12"/>
    <mergeCell ref="B4:F4"/>
    <mergeCell ref="A13:A21"/>
    <mergeCell ref="B15:F15"/>
    <mergeCell ref="B14:F14"/>
    <mergeCell ref="A10:A11"/>
    <mergeCell ref="B10:F10"/>
    <mergeCell ref="B11:F11"/>
    <mergeCell ref="B13:F13"/>
    <mergeCell ref="B21:F21"/>
    <mergeCell ref="A22:F22"/>
    <mergeCell ref="A23:F23"/>
    <mergeCell ref="B20:F20"/>
    <mergeCell ref="M10:M11"/>
    <mergeCell ref="L10:L11"/>
    <mergeCell ref="B19:F19"/>
  </mergeCells>
  <conditionalFormatting sqref="M31:O31">
    <cfRule type="containsText" dxfId="103" priority="5" operator="containsText" text="High">
      <formula>NOT(ISERROR(SEARCH("High",M31)))</formula>
    </cfRule>
    <cfRule type="containsText" dxfId="102" priority="6" operator="containsText" text="Medium">
      <formula>NOT(ISERROR(SEARCH("Medium",M31)))</formula>
    </cfRule>
    <cfRule type="containsText" dxfId="101" priority="7" operator="containsText" text="Very low">
      <formula>NOT(ISERROR(SEARCH("Very low",M31)))</formula>
    </cfRule>
    <cfRule type="containsText" dxfId="100" priority="8" operator="containsText" text="low">
      <formula>NOT(ISERROR(SEARCH("low",M31)))</formula>
    </cfRule>
  </conditionalFormatting>
  <pageMargins left="0.9055118110236221" right="0.9055118110236221" top="0.94488188976377963" bottom="0.94488188976377963" header="0.31496062992125984" footer="0.31496062992125984"/>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972FF-EB38-495D-A190-4AA05729360C}">
  <sheetPr>
    <tabColor theme="4" tint="0.39997558519241921"/>
  </sheetPr>
  <dimension ref="B1:M39"/>
  <sheetViews>
    <sheetView zoomScale="69" zoomScaleNormal="70" workbookViewId="0">
      <selection activeCell="L13" sqref="L13:M13"/>
    </sheetView>
  </sheetViews>
  <sheetFormatPr defaultColWidth="8.81640625" defaultRowHeight="14.5" x14ac:dyDescent="0.35"/>
  <cols>
    <col min="1" max="1" width="25.453125" customWidth="1"/>
    <col min="2" max="2" width="67.81640625" customWidth="1"/>
    <col min="3" max="3" width="19.1796875" customWidth="1"/>
    <col min="4" max="4" width="7" customWidth="1"/>
    <col min="5" max="5" width="23.81640625" customWidth="1"/>
    <col min="6" max="6" width="16.1796875" customWidth="1"/>
    <col min="7" max="7" width="19.453125" customWidth="1"/>
    <col min="8" max="8" width="20" customWidth="1"/>
    <col min="9" max="9" width="20.7265625" customWidth="1"/>
    <col min="10" max="10" width="20.453125" customWidth="1"/>
    <col min="11" max="11" width="8.7265625" customWidth="1"/>
    <col min="12" max="12" width="73.81640625" customWidth="1"/>
    <col min="13" max="13" width="15.453125" customWidth="1"/>
    <col min="14" max="14" width="21.453125" customWidth="1"/>
  </cols>
  <sheetData>
    <row r="1" spans="2:13" ht="48.75" customHeight="1" thickBot="1" x14ac:dyDescent="0.4">
      <c r="B1" s="1685" t="s">
        <v>214</v>
      </c>
      <c r="C1" s="1686"/>
      <c r="D1" s="1687"/>
      <c r="E1" s="847"/>
      <c r="F1" s="847"/>
      <c r="G1" s="847"/>
      <c r="H1" s="847"/>
      <c r="J1" s="567"/>
    </row>
    <row r="2" spans="2:13" ht="63.75" customHeight="1" thickBot="1" x14ac:dyDescent="0.4">
      <c r="B2" s="1688" t="s">
        <v>215</v>
      </c>
      <c r="C2" s="1689"/>
      <c r="D2" s="1690"/>
      <c r="E2" s="858" t="s">
        <v>216</v>
      </c>
      <c r="F2" s="710"/>
      <c r="H2" s="4"/>
    </row>
    <row r="3" spans="2:13" ht="46.5" customHeight="1" thickBot="1" x14ac:dyDescent="0.4">
      <c r="B3" s="1691"/>
      <c r="C3" s="1692"/>
      <c r="D3" s="1693"/>
      <c r="E3" s="1246">
        <f>Quickstart_T1!B5</f>
        <v>1000</v>
      </c>
      <c r="F3" s="4"/>
      <c r="G3" s="4"/>
    </row>
    <row r="4" spans="2:13" ht="62.25" customHeight="1" thickBot="1" x14ac:dyDescent="0.4">
      <c r="B4" s="1688" t="s">
        <v>217</v>
      </c>
      <c r="C4" s="1689"/>
      <c r="D4" s="1689"/>
      <c r="E4" s="942" t="s">
        <v>218</v>
      </c>
      <c r="F4" s="975" t="s">
        <v>219</v>
      </c>
      <c r="G4" s="943" t="s">
        <v>220</v>
      </c>
    </row>
    <row r="5" spans="2:13" ht="62.25" customHeight="1" thickBot="1" x14ac:dyDescent="0.4">
      <c r="B5" s="1691"/>
      <c r="C5" s="1692"/>
      <c r="D5" s="1692"/>
      <c r="E5" s="1089" t="str">
        <f>Quickstart_T1!B4</f>
        <v>South Africa</v>
      </c>
      <c r="F5" s="1090">
        <f>Quickstart_T1!C5-SUM(Totals!G12,Totals!G13,Totals!G14,Totals!G15,Totals!G16,Totals!G17,Totals!G18,Totals!G19,Totals!G20)</f>
        <v>972.09623314390706</v>
      </c>
      <c r="G5" s="1091">
        <f>Quickstart_T1!D5</f>
        <v>1</v>
      </c>
    </row>
    <row r="6" spans="2:13" ht="68.25" customHeight="1" thickBot="1" x14ac:dyDescent="0.4">
      <c r="B6" s="1688" t="s">
        <v>221</v>
      </c>
      <c r="C6" s="1689"/>
      <c r="D6" s="1689"/>
      <c r="E6" s="942" t="s">
        <v>222</v>
      </c>
      <c r="F6" s="975" t="s">
        <v>219</v>
      </c>
      <c r="G6" s="975" t="s">
        <v>223</v>
      </c>
      <c r="H6" s="975" t="s">
        <v>224</v>
      </c>
      <c r="I6" s="975" t="s">
        <v>225</v>
      </c>
      <c r="J6" s="943" t="s">
        <v>226</v>
      </c>
    </row>
    <row r="7" spans="2:13" ht="69" customHeight="1" thickBot="1" x14ac:dyDescent="0.4">
      <c r="B7" s="1691"/>
      <c r="C7" s="1692"/>
      <c r="D7" s="1692"/>
      <c r="E7" s="1084">
        <f>COUNTIF(Procurement_T2!C13:C113,"&gt;0")</f>
        <v>3</v>
      </c>
      <c r="F7" s="1085">
        <f>Procurement_T2!B6</f>
        <v>0</v>
      </c>
      <c r="G7" s="1086">
        <f>Procurement_T2!B8</f>
        <v>0</v>
      </c>
      <c r="H7" s="1087" cm="1">
        <f t="array" ref="H7">Procurement_T2!F8:F8</f>
        <v>0</v>
      </c>
      <c r="I7" s="1086">
        <f>Procurement_T2!B9</f>
        <v>0</v>
      </c>
      <c r="J7" s="1088">
        <f>Procurement_T2!F9</f>
        <v>0</v>
      </c>
    </row>
    <row r="8" spans="2:13" ht="75.75" customHeight="1" thickBot="1" x14ac:dyDescent="0.4">
      <c r="B8" s="1688" t="s">
        <v>227</v>
      </c>
      <c r="C8" s="1689"/>
      <c r="D8" s="1689"/>
      <c r="E8" s="1402" t="s">
        <v>228</v>
      </c>
      <c r="F8" s="1403" t="s">
        <v>219</v>
      </c>
      <c r="G8" s="1403" t="s">
        <v>229</v>
      </c>
      <c r="H8" s="1403" t="s">
        <v>230</v>
      </c>
      <c r="I8" s="1403" t="s">
        <v>231</v>
      </c>
      <c r="J8" s="1404" t="s">
        <v>232</v>
      </c>
    </row>
    <row r="9" spans="2:13" ht="59.25" customHeight="1" thickBot="1" x14ac:dyDescent="0.4">
      <c r="B9" s="1691"/>
      <c r="C9" s="1692"/>
      <c r="D9" s="1692"/>
      <c r="E9" s="1397">
        <f>Procurement_T3!D7</f>
        <v>5.3571428571428572E-3</v>
      </c>
      <c r="F9" s="1398">
        <f>Procurement_T3!B9</f>
        <v>0</v>
      </c>
      <c r="G9" s="1405">
        <f>Procurement_T3!B7</f>
        <v>0</v>
      </c>
      <c r="H9" s="1399">
        <f>Procurement_T3!B4</f>
        <v>0</v>
      </c>
      <c r="I9" s="1400">
        <f>Procurement_T3!B8</f>
        <v>5.3571428571428572E-3</v>
      </c>
      <c r="J9" s="1401">
        <f>Procurement_T3!C8</f>
        <v>5.3571428571428572E-3</v>
      </c>
    </row>
    <row r="10" spans="2:13" ht="15" thickBot="1" x14ac:dyDescent="0.4">
      <c r="B10" s="4"/>
    </row>
    <row r="11" spans="2:13" ht="30" customHeight="1" thickBot="1" x14ac:dyDescent="0.4">
      <c r="B11" s="1682" t="s">
        <v>233</v>
      </c>
      <c r="C11" s="1683"/>
      <c r="D11" s="1684"/>
    </row>
    <row r="12" spans="2:13" ht="15" thickBot="1" x14ac:dyDescent="0.4">
      <c r="B12" s="4"/>
    </row>
    <row r="13" spans="2:13" ht="29.5" thickBot="1" x14ac:dyDescent="0.4">
      <c r="B13" s="1197" t="s">
        <v>234</v>
      </c>
      <c r="C13" s="1198" t="s">
        <v>235</v>
      </c>
      <c r="E13" s="965"/>
      <c r="L13" s="1199" t="s">
        <v>236</v>
      </c>
      <c r="M13" s="1200" t="s">
        <v>235</v>
      </c>
    </row>
    <row r="14" spans="2:13" x14ac:dyDescent="0.35">
      <c r="B14" s="511" t="str">
        <f>Procurement_T2!K13</f>
        <v/>
      </c>
      <c r="C14" s="978" t="str">
        <f>IFERROR(VLOOKUP(B14,Procurement_T2!$A$13:$I$113,8,0),"")</f>
        <v/>
      </c>
      <c r="L14" s="747" t="str">
        <f>Procurement_T2!M13</f>
        <v/>
      </c>
      <c r="M14" s="1079" t="str">
        <f>IFERROR(VLOOKUP(L14,Procurement_T2!$A$13:$I$113,8,0),"")</f>
        <v/>
      </c>
    </row>
    <row r="15" spans="2:13" x14ac:dyDescent="0.35">
      <c r="B15" s="747" t="str">
        <f>Procurement_T2!K14</f>
        <v/>
      </c>
      <c r="C15" s="979" t="str">
        <f>IFERROR(VLOOKUP(B15,Procurement_T2!$A$13:$I$113,8,0),"")</f>
        <v/>
      </c>
      <c r="E15" s="710"/>
      <c r="F15" s="710"/>
      <c r="G15" s="710"/>
      <c r="H15" s="710"/>
      <c r="L15" s="747" t="str">
        <f>Procurement_T2!M14</f>
        <v/>
      </c>
      <c r="M15" s="1079" t="str">
        <f>IFERROR(VLOOKUP(L15,Procurement_T2!$A$13:$I$113,8,0),"")</f>
        <v/>
      </c>
    </row>
    <row r="16" spans="2:13" x14ac:dyDescent="0.35">
      <c r="B16" s="747" t="str">
        <f>Procurement_T2!K15</f>
        <v/>
      </c>
      <c r="C16" s="979" t="str">
        <f>IFERROR(VLOOKUP(B16,Procurement_T2!$A$13:$I$113,8,0),"")</f>
        <v/>
      </c>
      <c r="L16" s="747" t="str">
        <f>Procurement_T2!M15</f>
        <v/>
      </c>
      <c r="M16" s="1079" t="str">
        <f>IFERROR(VLOOKUP(L16,Procurement_T2!$A$13:$I$113,8,0),"")</f>
        <v/>
      </c>
    </row>
    <row r="17" spans="2:13" x14ac:dyDescent="0.35">
      <c r="B17" s="747" t="str">
        <f>Procurement_T2!K16</f>
        <v/>
      </c>
      <c r="C17" s="979" t="str">
        <f>IFERROR(VLOOKUP(B17,Procurement_T2!$A$13:$I$113,8,0),"")</f>
        <v/>
      </c>
      <c r="L17" s="747" t="str">
        <f>Procurement_T2!M16</f>
        <v/>
      </c>
      <c r="M17" s="1079" t="str">
        <f>IFERROR(VLOOKUP(L17,Procurement_T2!$A$13:$I$113,8,0),"")</f>
        <v/>
      </c>
    </row>
    <row r="18" spans="2:13" x14ac:dyDescent="0.35">
      <c r="B18" s="747" t="str">
        <f>Procurement_T2!K17</f>
        <v/>
      </c>
      <c r="C18" s="979" t="str">
        <f>IFERROR(VLOOKUP(B18,Procurement_T2!$A$13:$I$113,8,0),"")</f>
        <v/>
      </c>
      <c r="L18" s="747" t="str">
        <f>Procurement_T2!M17</f>
        <v/>
      </c>
      <c r="M18" s="1079" t="str">
        <f>IFERROR(VLOOKUP(L18,Procurement_T2!$A$13:$I$113,8,0),"")</f>
        <v/>
      </c>
    </row>
    <row r="19" spans="2:13" x14ac:dyDescent="0.35">
      <c r="B19" s="747" t="str">
        <f>Procurement_T2!K18</f>
        <v/>
      </c>
      <c r="C19" s="979" t="str">
        <f>IFERROR(VLOOKUP(B19,Procurement_T2!$A$13:$I$113,8,0),"")</f>
        <v/>
      </c>
      <c r="L19" s="747" t="str">
        <f>Procurement_T2!M18</f>
        <v/>
      </c>
      <c r="M19" s="1079" t="str">
        <f>IFERROR(VLOOKUP(L19,Procurement_T2!$A$13:$I$113,8,0),"")</f>
        <v/>
      </c>
    </row>
    <row r="20" spans="2:13" x14ac:dyDescent="0.35">
      <c r="B20" s="747" t="str">
        <f>Procurement_T2!K19</f>
        <v/>
      </c>
      <c r="C20" s="979" t="str">
        <f>IFERROR(VLOOKUP(B20,Procurement_T2!$A$13:$I$113,8,0),"")</f>
        <v/>
      </c>
      <c r="L20" s="747" t="str">
        <f>Procurement_T2!M19</f>
        <v/>
      </c>
      <c r="M20" s="1079" t="str">
        <f>IFERROR(VLOOKUP(L20,Procurement_T2!$A$13:$I$113,8,0),"")</f>
        <v/>
      </c>
    </row>
    <row r="21" spans="2:13" x14ac:dyDescent="0.35">
      <c r="B21" s="747" t="str">
        <f>Procurement_T2!K20</f>
        <v/>
      </c>
      <c r="C21" s="979" t="str">
        <f>IFERROR(VLOOKUP(B21,Procurement_T2!$A$13:$I$113,8,0),"")</f>
        <v/>
      </c>
      <c r="L21" s="747" t="str">
        <f>Procurement_T2!M20</f>
        <v/>
      </c>
      <c r="M21" s="1079" t="str">
        <f>IFERROR(VLOOKUP(L21,Procurement_T2!$A$13:$I$113,8,0),"")</f>
        <v/>
      </c>
    </row>
    <row r="22" spans="2:13" x14ac:dyDescent="0.35">
      <c r="B22" s="747" t="str">
        <f>Procurement_T2!K21</f>
        <v/>
      </c>
      <c r="C22" s="979" t="str">
        <f>IFERROR(VLOOKUP(B22,Procurement_T2!$A$13:$I$113,8,0),"")</f>
        <v/>
      </c>
      <c r="L22" s="747" t="str">
        <f>Procurement_T2!M21</f>
        <v/>
      </c>
      <c r="M22" s="1079" t="str">
        <f>IFERROR(VLOOKUP(L22,Procurement_T2!$A$13:$I$113,8,0),"")</f>
        <v/>
      </c>
    </row>
    <row r="23" spans="2:13" x14ac:dyDescent="0.35">
      <c r="B23" s="747" t="str">
        <f>Procurement_T2!K22</f>
        <v/>
      </c>
      <c r="C23" s="979" t="str">
        <f>IFERROR(VLOOKUP(B23,Procurement_T2!$A$13:$I$113,8,0),"")</f>
        <v/>
      </c>
      <c r="L23" s="747" t="str">
        <f>Procurement_T2!M22</f>
        <v/>
      </c>
      <c r="M23" s="1079" t="str">
        <f>IFERROR(VLOOKUP(L23,Procurement_T2!$A$13:$I$113,8,0),"")</f>
        <v/>
      </c>
    </row>
    <row r="24" spans="2:13" x14ac:dyDescent="0.35">
      <c r="B24" s="747" t="str">
        <f>Procurement_T2!K23</f>
        <v/>
      </c>
      <c r="C24" s="979" t="str">
        <f>IFERROR(VLOOKUP(B24,Procurement_T2!$A$13:$I$113,8,0),"")</f>
        <v/>
      </c>
      <c r="G24" s="567"/>
      <c r="L24" s="747" t="str">
        <f>Procurement_T2!M23</f>
        <v/>
      </c>
      <c r="M24" s="1079" t="str">
        <f>IFERROR(VLOOKUP(L24,Procurement_T2!$A$13:$I$113,8,0),"")</f>
        <v/>
      </c>
    </row>
    <row r="25" spans="2:13" x14ac:dyDescent="0.35">
      <c r="B25" s="747" t="str">
        <f>Procurement_T2!K24</f>
        <v/>
      </c>
      <c r="C25" s="979" t="str">
        <f>IFERROR(VLOOKUP(B25,Procurement_T2!$A$13:$I$113,8,0),"")</f>
        <v/>
      </c>
      <c r="G25" s="567"/>
      <c r="L25" s="747" t="str">
        <f>Procurement_T2!M24</f>
        <v/>
      </c>
      <c r="M25" s="1079" t="str">
        <f>IFERROR(VLOOKUP(L25,Procurement_T2!$A$13:$I$113,8,0),"")</f>
        <v/>
      </c>
    </row>
    <row r="26" spans="2:13" x14ac:dyDescent="0.35">
      <c r="B26" s="747" t="str">
        <f>Procurement_T2!K25</f>
        <v/>
      </c>
      <c r="C26" s="979" t="str">
        <f>IFERROR(VLOOKUP(B26,Procurement_T2!$A$13:$I$113,8,0),"")</f>
        <v/>
      </c>
      <c r="G26" s="567"/>
      <c r="L26" s="747" t="str">
        <f>Procurement_T2!M25</f>
        <v/>
      </c>
      <c r="M26" s="1079" t="str">
        <f>IFERROR(VLOOKUP(L26,Procurement_T2!$A$13:$I$113,8,0),"")</f>
        <v/>
      </c>
    </row>
    <row r="27" spans="2:13" x14ac:dyDescent="0.35">
      <c r="B27" s="747" t="str">
        <f>Procurement_T2!K26</f>
        <v/>
      </c>
      <c r="C27" s="979" t="str">
        <f>IFERROR(VLOOKUP(B27,Procurement_T2!$A$13:$I$113,8,0),"")</f>
        <v/>
      </c>
      <c r="G27" s="567"/>
      <c r="L27" s="747" t="str">
        <f>Procurement_T2!M26</f>
        <v/>
      </c>
      <c r="M27" s="1079" t="str">
        <f>IFERROR(VLOOKUP(L27,Procurement_T2!$A$13:$I$113,8,0),"")</f>
        <v/>
      </c>
    </row>
    <row r="28" spans="2:13" x14ac:dyDescent="0.35">
      <c r="B28" s="747" t="str">
        <f>Procurement_T2!K27</f>
        <v/>
      </c>
      <c r="C28" s="979" t="str">
        <f>IFERROR(VLOOKUP(B28,Procurement_T2!$A$13:$I$113,8,0),"")</f>
        <v/>
      </c>
      <c r="G28" s="567"/>
      <c r="L28" s="747" t="str">
        <f>Procurement_T2!M27</f>
        <v/>
      </c>
      <c r="M28" s="1079" t="str">
        <f>IFERROR(VLOOKUP(L28,Procurement_T2!$A$13:$I$113,8,0),"")</f>
        <v/>
      </c>
    </row>
    <row r="29" spans="2:13" x14ac:dyDescent="0.35">
      <c r="B29" s="747" t="str">
        <f>Procurement_T2!K28</f>
        <v/>
      </c>
      <c r="C29" s="979" t="str">
        <f>IFERROR(VLOOKUP(B29,Procurement_T2!$A$13:$I$113,8,0),"")</f>
        <v/>
      </c>
      <c r="G29" s="567"/>
      <c r="L29" s="747" t="str">
        <f>Procurement_T2!M28</f>
        <v/>
      </c>
      <c r="M29" s="1079" t="str">
        <f>IFERROR(VLOOKUP(L29,Procurement_T2!$A$13:$I$113,8,0),"")</f>
        <v/>
      </c>
    </row>
    <row r="30" spans="2:13" x14ac:dyDescent="0.35">
      <c r="B30" s="747" t="str">
        <f>Procurement_T2!K29</f>
        <v/>
      </c>
      <c r="C30" s="979" t="str">
        <f>IFERROR(VLOOKUP(B30,Procurement_T2!$A$13:$I$113,8,0),"")</f>
        <v/>
      </c>
      <c r="G30" s="567"/>
      <c r="L30" s="747" t="str">
        <f>Procurement_T2!M29</f>
        <v/>
      </c>
      <c r="M30" s="1079" t="str">
        <f>IFERROR(VLOOKUP(L30,Procurement_T2!$A$13:$I$113,8,0),"")</f>
        <v/>
      </c>
    </row>
    <row r="31" spans="2:13" x14ac:dyDescent="0.35">
      <c r="B31" s="747" t="str">
        <f>Procurement_T2!K30</f>
        <v/>
      </c>
      <c r="C31" s="979" t="str">
        <f>IFERROR(VLOOKUP(B31,Procurement_T2!$A$13:$I$113,8,0),"")</f>
        <v/>
      </c>
      <c r="G31" s="567"/>
      <c r="L31" s="747" t="str">
        <f>Procurement_T2!M30</f>
        <v/>
      </c>
      <c r="M31" s="1079" t="str">
        <f>IFERROR(VLOOKUP(L31,Procurement_T2!$A$13:$I$113,8,0),"")</f>
        <v/>
      </c>
    </row>
    <row r="32" spans="2:13" x14ac:dyDescent="0.35">
      <c r="B32" s="747" t="str">
        <f>Procurement_T2!K31</f>
        <v/>
      </c>
      <c r="C32" s="979" t="str">
        <f>IFERROR(VLOOKUP(B32,Procurement_T2!$A$13:$I$113,8,0),"")</f>
        <v/>
      </c>
      <c r="G32" s="567"/>
      <c r="L32" s="747" t="str">
        <f>Procurement_T2!M31</f>
        <v/>
      </c>
      <c r="M32" s="1079" t="str">
        <f>IFERROR(VLOOKUP(L32,Procurement_T2!$A$13:$I$113,8,0),"")</f>
        <v/>
      </c>
    </row>
    <row r="33" spans="2:13" x14ac:dyDescent="0.35">
      <c r="B33" s="747" t="str">
        <f>Procurement_T2!K32</f>
        <v/>
      </c>
      <c r="C33" s="979" t="str">
        <f>IFERROR(VLOOKUP(B33,Procurement_T2!$A$13:$I$113,8,0),"")</f>
        <v/>
      </c>
      <c r="G33" s="567"/>
      <c r="L33" s="747" t="str">
        <f>Procurement_T2!M32</f>
        <v/>
      </c>
      <c r="M33" s="1079" t="str">
        <f>IFERROR(VLOOKUP(L33,Procurement_T2!$A$13:$I$113,8,0),"")</f>
        <v/>
      </c>
    </row>
    <row r="34" spans="2:13" x14ac:dyDescent="0.35">
      <c r="B34" s="747" t="str">
        <f>Procurement_T2!K33</f>
        <v/>
      </c>
      <c r="C34" s="979" t="str">
        <f>IFERROR(VLOOKUP(B34,Procurement_T2!$A$13:$I$113,8,0),"")</f>
        <v/>
      </c>
      <c r="G34" s="567"/>
      <c r="L34" s="747" t="str">
        <f>Procurement_T2!M33</f>
        <v/>
      </c>
      <c r="M34" s="1079" t="str">
        <f>IFERROR(VLOOKUP(L34,Procurement_T2!$A$13:$I$113,8,0),"")</f>
        <v/>
      </c>
    </row>
    <row r="35" spans="2:13" x14ac:dyDescent="0.35">
      <c r="B35" s="747" t="str">
        <f>Procurement_T2!K34</f>
        <v/>
      </c>
      <c r="C35" s="979" t="str">
        <f>IFERROR(VLOOKUP(B35,Procurement_T2!$A$13:$I$113,8,0),"")</f>
        <v/>
      </c>
      <c r="G35" s="567"/>
      <c r="L35" s="747" t="str">
        <f>Procurement_T2!M34</f>
        <v/>
      </c>
      <c r="M35" s="1079" t="str">
        <f>IFERROR(VLOOKUP(L35,Procurement_T2!$A$13:$I$113,8,0),"")</f>
        <v/>
      </c>
    </row>
    <row r="36" spans="2:13" x14ac:dyDescent="0.35">
      <c r="B36" s="747" t="str">
        <f>Procurement_T2!K35</f>
        <v/>
      </c>
      <c r="C36" s="979" t="str">
        <f>IFERROR(VLOOKUP(B36,Procurement_T2!$A$13:$I$113,8,0),"")</f>
        <v/>
      </c>
      <c r="G36" s="567"/>
      <c r="L36" s="747" t="str">
        <f>Procurement_T2!M35</f>
        <v/>
      </c>
      <c r="M36" s="1079" t="str">
        <f>IFERROR(VLOOKUP(L36,Procurement_T2!$A$13:$I$113,8,0),"")</f>
        <v/>
      </c>
    </row>
    <row r="37" spans="2:13" x14ac:dyDescent="0.35">
      <c r="B37" s="747" t="str">
        <f>Procurement_T2!K36</f>
        <v/>
      </c>
      <c r="C37" s="979" t="str">
        <f>IFERROR(VLOOKUP(B37,Procurement_T2!$A$13:$I$113,8,0),"")</f>
        <v/>
      </c>
      <c r="G37" s="567"/>
      <c r="L37" s="747" t="str">
        <f>Procurement_T2!M36</f>
        <v/>
      </c>
      <c r="M37" s="1079" t="str">
        <f>IFERROR(VLOOKUP(L37,Procurement_T2!$A$13:$I$113,8,0),"")</f>
        <v/>
      </c>
    </row>
    <row r="38" spans="2:13" ht="15" thickBot="1" x14ac:dyDescent="0.4">
      <c r="B38" s="747" t="str">
        <f>Procurement_T2!K37</f>
        <v/>
      </c>
      <c r="C38" s="979" t="str">
        <f>IFERROR(VLOOKUP(B38,Procurement_T2!$A$13:$I$113,8,0),"")</f>
        <v/>
      </c>
      <c r="G38" s="567"/>
      <c r="L38" s="504" t="str">
        <f>Procurement_T2!M37</f>
        <v/>
      </c>
      <c r="M38" s="1080" t="str">
        <f>IFERROR(VLOOKUP(L38,Procurement_T2!$A$13:$I$113,8,0),"")</f>
        <v/>
      </c>
    </row>
    <row r="39" spans="2:13" ht="15" thickBot="1" x14ac:dyDescent="0.4">
      <c r="B39" s="504" t="str">
        <f>Procurement_T2!K38</f>
        <v/>
      </c>
      <c r="C39" s="980" t="str">
        <f>IFERROR(VLOOKUP(B39,Procurement_T2!$A$13:$I$113,8,0),"")</f>
        <v/>
      </c>
      <c r="G39" s="567"/>
    </row>
  </sheetData>
  <sheetProtection algorithmName="SHA-512" hashValue="R/L3jTILy0lGCqPBJLLul/bmXWjx8baqxjitg2HWIf/NLS3InSK1wPwAR/p+mrcduil62cnR9Me6GrB2+UU3Bw==" saltValue="ZXkfPLyylHPR9B0x0OHyuA==" spinCount="100000" sheet="1" autoFilter="0"/>
  <autoFilter ref="B13:C39" xr:uid="{4438B35A-2570-434B-A2F9-7FA7C800D90A}"/>
  <mergeCells count="6">
    <mergeCell ref="B11:D11"/>
    <mergeCell ref="B1:D1"/>
    <mergeCell ref="B2:D3"/>
    <mergeCell ref="B4:D5"/>
    <mergeCell ref="B6:D7"/>
    <mergeCell ref="B8:D9"/>
  </mergeCells>
  <pageMargins left="0.7" right="0.7" top="0.75" bottom="0.75" header="0.3" footer="0.3"/>
  <pageSetup paperSize="9"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4C2A4-C959-4C7A-907D-39596F8B3C8F}">
  <sheetPr codeName="Sheet3">
    <tabColor theme="4" tint="0.39997558519241921"/>
  </sheetPr>
  <dimension ref="A1:Y194"/>
  <sheetViews>
    <sheetView topLeftCell="A92" zoomScale="70" zoomScaleNormal="70" workbookViewId="0">
      <selection activeCell="A43" sqref="A43"/>
    </sheetView>
  </sheetViews>
  <sheetFormatPr defaultColWidth="8.81640625" defaultRowHeight="14.5" x14ac:dyDescent="0.35"/>
  <cols>
    <col min="1" max="1" width="56" style="4" customWidth="1"/>
    <col min="2" max="2" width="14.81640625" customWidth="1"/>
    <col min="3" max="3" width="16.453125" customWidth="1"/>
    <col min="4" max="4" width="14.453125" customWidth="1"/>
    <col min="5" max="5" width="11.7265625" customWidth="1"/>
    <col min="6" max="6" width="15.26953125" customWidth="1"/>
    <col min="7" max="7" width="12.453125" customWidth="1"/>
    <col min="8" max="8" width="17.26953125" customWidth="1"/>
    <col min="9" max="9" width="18" customWidth="1"/>
    <col min="10" max="10" width="15.54296875" customWidth="1"/>
    <col min="11" max="11" width="18" bestFit="1" customWidth="1"/>
    <col min="12" max="12" width="18" customWidth="1"/>
    <col min="13" max="13" width="14.453125" customWidth="1"/>
    <col min="14" max="14" width="13.26953125" customWidth="1"/>
    <col min="15" max="15" width="12.453125" customWidth="1"/>
    <col min="16" max="16" width="16.453125" customWidth="1"/>
    <col min="18" max="18" width="13.453125" bestFit="1" customWidth="1"/>
    <col min="19" max="19" width="15.1796875" bestFit="1" customWidth="1"/>
    <col min="20" max="20" width="18.1796875" bestFit="1" customWidth="1"/>
    <col min="21" max="21" width="12.26953125" bestFit="1" customWidth="1"/>
    <col min="22" max="22" width="13" customWidth="1"/>
    <col min="23" max="23" width="16.26953125" bestFit="1" customWidth="1"/>
    <col min="24" max="24" width="13" customWidth="1"/>
    <col min="25" max="25" width="17" bestFit="1" customWidth="1"/>
  </cols>
  <sheetData>
    <row r="1" spans="1:23" ht="22.5" customHeight="1" x14ac:dyDescent="0.35">
      <c r="A1" s="1709" t="s">
        <v>237</v>
      </c>
      <c r="B1" s="1710"/>
      <c r="C1" s="1710"/>
      <c r="D1" s="1710"/>
      <c r="E1" s="1710"/>
      <c r="F1" s="1710"/>
      <c r="G1" s="1710"/>
      <c r="H1" s="1710"/>
      <c r="I1" s="1711"/>
      <c r="K1" s="1697" t="s">
        <v>238</v>
      </c>
      <c r="L1" s="1699"/>
      <c r="M1" s="1222"/>
      <c r="N1" s="956" t="s">
        <v>239</v>
      </c>
      <c r="R1" s="1697" t="s">
        <v>240</v>
      </c>
      <c r="S1" s="1698"/>
      <c r="T1" s="1698"/>
      <c r="U1" s="1698"/>
      <c r="V1" s="1699"/>
      <c r="W1" s="1706"/>
    </row>
    <row r="2" spans="1:23" ht="24.75" customHeight="1" x14ac:dyDescent="0.35">
      <c r="A2" s="1712"/>
      <c r="B2" s="1713"/>
      <c r="C2" s="1713"/>
      <c r="D2" s="1713"/>
      <c r="E2" s="1713"/>
      <c r="F2" s="1713"/>
      <c r="G2" s="1713"/>
      <c r="H2" s="1713"/>
      <c r="I2" s="1714"/>
      <c r="K2" s="1700"/>
      <c r="L2" s="1702"/>
      <c r="M2" s="1223"/>
      <c r="N2" s="262" t="s">
        <v>241</v>
      </c>
      <c r="R2" s="1700"/>
      <c r="S2" s="1701"/>
      <c r="T2" s="1701"/>
      <c r="U2" s="1701"/>
      <c r="V2" s="1702"/>
      <c r="W2" s="1707"/>
    </row>
    <row r="3" spans="1:23" ht="20.25" customHeight="1" thickBot="1" x14ac:dyDescent="0.4">
      <c r="A3" s="1715"/>
      <c r="B3" s="1716"/>
      <c r="C3" s="1716"/>
      <c r="D3" s="1716"/>
      <c r="E3" s="1716"/>
      <c r="F3" s="1716"/>
      <c r="G3" s="1716"/>
      <c r="H3" s="1716"/>
      <c r="I3" s="1717"/>
      <c r="K3" s="1703"/>
      <c r="L3" s="1705"/>
      <c r="M3" s="1224"/>
      <c r="N3" s="1136" t="s">
        <v>242</v>
      </c>
      <c r="R3" s="1703"/>
      <c r="S3" s="1704"/>
      <c r="T3" s="1704"/>
      <c r="U3" s="1704"/>
      <c r="V3" s="1705"/>
      <c r="W3" s="1708"/>
    </row>
    <row r="4" spans="1:23" ht="15" thickBot="1" x14ac:dyDescent="0.4"/>
    <row r="5" spans="1:23" x14ac:dyDescent="0.35">
      <c r="A5" s="1721" t="s">
        <v>243</v>
      </c>
      <c r="B5" s="1722"/>
      <c r="C5" s="1722"/>
      <c r="D5" s="1722"/>
      <c r="E5" s="1722"/>
      <c r="F5" s="1722"/>
      <c r="G5" s="1722"/>
      <c r="H5" s="1723"/>
      <c r="I5" s="1518">
        <f>IFERROR((Totals!G12/SUM(Buildings!L12:L41)),"")</f>
        <v>1.3635888000000001E-3</v>
      </c>
    </row>
    <row r="6" spans="1:23" ht="15" thickBot="1" x14ac:dyDescent="0.4">
      <c r="A6" s="1724" t="s">
        <v>244</v>
      </c>
      <c r="B6" s="1725"/>
      <c r="C6" s="1725"/>
      <c r="D6" s="1725"/>
      <c r="E6" s="1725"/>
      <c r="F6" s="1725"/>
      <c r="G6" s="1725"/>
      <c r="H6" s="1726"/>
      <c r="I6" s="1519">
        <f>IFERROR((Totals!G23/Quickstart_T1!B5),"")</f>
        <v>3.4089719999999997E-3</v>
      </c>
    </row>
    <row r="7" spans="1:23" ht="15" thickBot="1" x14ac:dyDescent="0.4"/>
    <row r="8" spans="1:23" ht="15" thickBot="1" x14ac:dyDescent="0.4">
      <c r="B8" s="1718" t="s">
        <v>245</v>
      </c>
      <c r="C8" s="1719"/>
      <c r="D8" s="1719"/>
      <c r="E8" s="1719"/>
      <c r="F8" s="1719"/>
      <c r="G8" s="1719"/>
      <c r="H8" s="1719"/>
      <c r="I8" s="1719"/>
      <c r="J8" s="1719"/>
      <c r="K8" s="1719"/>
      <c r="L8" s="1719"/>
      <c r="M8" s="1719"/>
      <c r="N8" s="1719"/>
      <c r="O8" s="1719"/>
      <c r="P8" s="1720"/>
    </row>
    <row r="9" spans="1:23" ht="66" customHeight="1" thickBot="1" x14ac:dyDescent="0.4">
      <c r="A9" s="854" t="s">
        <v>246</v>
      </c>
      <c r="B9" s="855" t="s">
        <v>247</v>
      </c>
      <c r="C9" s="855" t="s">
        <v>248</v>
      </c>
      <c r="D9" s="855" t="s">
        <v>249</v>
      </c>
      <c r="E9" s="855" t="s">
        <v>250</v>
      </c>
      <c r="F9" s="855" t="s">
        <v>251</v>
      </c>
      <c r="G9" s="855" t="s">
        <v>252</v>
      </c>
      <c r="H9" s="855" t="s">
        <v>253</v>
      </c>
      <c r="I9" s="855" t="s">
        <v>254</v>
      </c>
      <c r="J9" s="855" t="s">
        <v>255</v>
      </c>
      <c r="K9" s="855" t="s">
        <v>256</v>
      </c>
      <c r="L9" s="855" t="s">
        <v>257</v>
      </c>
      <c r="M9" s="855" t="s">
        <v>258</v>
      </c>
      <c r="N9" s="855" t="s">
        <v>259</v>
      </c>
      <c r="O9" s="859" t="s">
        <v>260</v>
      </c>
      <c r="P9" s="828" t="s">
        <v>261</v>
      </c>
      <c r="Q9" s="4"/>
    </row>
    <row r="10" spans="1:23" x14ac:dyDescent="0.35">
      <c r="A10" s="1247" t="str">
        <f>Buildings!B9</f>
        <v>Several sites</v>
      </c>
      <c r="B10" s="900">
        <f>IFERROR(SUMIF(Energy!$B$16:$B$46,"="&amp;A10,Energy!$O$16:$O$46),"")</f>
        <v>0</v>
      </c>
      <c r="C10" s="900">
        <f>IFERROR(SUMIF(Energy!$B$81:$B$110,"="&amp;A10,Energy!$O$81:$O$110),"")</f>
        <v>0</v>
      </c>
      <c r="D10" s="900">
        <f>IFERROR(SUMIF(Energy!$B$113:$B$142,"="&amp;A10,Energy!$O$113:$O$142),"")</f>
        <v>0</v>
      </c>
      <c r="E10" s="900">
        <f>IFERROR(SUMIF(Energy!$B$145:$B$174,"=" &amp;A10,Energy!$O$145:$O$174),"")</f>
        <v>0</v>
      </c>
      <c r="F10" s="900">
        <f>IFERROR(SUMIF(Energy!$B$177:$B$226,"=" &amp;'Building Totals &amp; Benchmarking'!A10,Energy!$O$177:$O$226),"")</f>
        <v>0</v>
      </c>
      <c r="G10" s="900">
        <f>IFERROR(SUMIF(Energy!$B$229:$B$258,"=" &amp;'Building Totals &amp; Benchmarking'!A10,Energy!$O$229:$O$258),"")</f>
        <v>0</v>
      </c>
      <c r="H10" s="900">
        <f>IFERROR(SUMIF('Vehicle-Fuel'!$A$13:$A$60,"="&amp;A10,'Vehicle-Fuel'!$S$13:$S$60),"")</f>
        <v>0</v>
      </c>
      <c r="I10" s="900">
        <f>IFERROR(SUMIF('Vehicle-Distance'!$A$14:$A$61,"="&amp;A10,'Vehicle-Distance'!$L$14:$L$61),"")</f>
        <v>0</v>
      </c>
      <c r="J10" s="900">
        <f>IFERROR(SUMIF('Travel-Other vehicles'!$A$12:$A$59,"="&amp;A10,'Travel-Other vehicles'!$K$12:$K$59),"")</f>
        <v>0</v>
      </c>
      <c r="K10" s="900">
        <f>IFERROR(SUMIF('Anaesthetic gases'!$A$11:$A$54,"="&amp;A10,'Anaesthetic gases'!$P$11:$P$54),"")</f>
        <v>0</v>
      </c>
      <c r="L10" s="900">
        <f>IFERROR(SUMIF('Refrigerant gases'!$A$12:$A$55,"="&amp;A10,'Refrigerant gases'!$P$12:$P$55),"")</f>
        <v>0</v>
      </c>
      <c r="M10" s="892" t="s">
        <v>200</v>
      </c>
      <c r="N10" s="900">
        <f>IFERROR(SUMIF(Waste!$A$17:$A$108,"="&amp;A10,Waste!$N$17:$N$108),"")</f>
        <v>0</v>
      </c>
      <c r="O10" s="902">
        <f>IFERROR(SUMIF(Inhalers!$A$13:$A$106,"="&amp;A10,Inhalers!$M$13:$M$106)+SUMIF(Inhalers!$A$13:$A$106,"="&amp;A10,Inhalers!$N$13:$N$106),"")</f>
        <v>0</v>
      </c>
      <c r="P10" s="904">
        <f t="shared" ref="P10:P42" si="0">SUM(B10:O10)</f>
        <v>0</v>
      </c>
    </row>
    <row r="11" spans="1:23" x14ac:dyDescent="0.35">
      <c r="A11" s="1247" t="str">
        <f>Buildings!B10</f>
        <v>Across all sites</v>
      </c>
      <c r="B11" s="901">
        <f>IFERROR(SUMIF(Energy!$B$16:$B$46,"="&amp;A11,Energy!$O$16:$O$46),"")</f>
        <v>0</v>
      </c>
      <c r="C11" s="901">
        <f>IFERROR(SUMIF(Energy!$B$81:$B$110,"="&amp;A11,Energy!$O$81:$O$110),"")</f>
        <v>0</v>
      </c>
      <c r="D11" s="901">
        <f>IFERROR(SUMIF(Energy!$B$113:$B$142,"="&amp;A11,Energy!$O$113:$O$142),"")</f>
        <v>0</v>
      </c>
      <c r="E11" s="901">
        <f>IFERROR(SUMIF(Energy!$B$145:$B$174,"=" &amp;A11,Energy!$O$145:$O$174),"")</f>
        <v>0</v>
      </c>
      <c r="F11" s="901">
        <f>IFERROR(SUMIF(Energy!$B$177:$B$226,"=" &amp;'Building Totals &amp; Benchmarking'!A11,Energy!$O$177:$O$226),"")</f>
        <v>0</v>
      </c>
      <c r="G11" s="901">
        <f>IFERROR(SUMIF(Energy!$B$229:$B$258,"=" &amp;'Building Totals &amp; Benchmarking'!A11,Energy!$O$229:$O$258),"")</f>
        <v>0</v>
      </c>
      <c r="H11" s="901">
        <f>IFERROR(SUMIF('Vehicle-Fuel'!$A$13:$A$60,"="&amp;A11,'Vehicle-Fuel'!$S$13:$S$60),"")</f>
        <v>0</v>
      </c>
      <c r="I11" s="901">
        <f>IFERROR(SUMIF('Vehicle-Distance'!$A$14:$A$61,"="&amp;A11,'Vehicle-Distance'!$L$14:$L$61),"")</f>
        <v>0</v>
      </c>
      <c r="J11" s="901">
        <f>IFERROR(SUMIF('Travel-Other vehicles'!$A$12:$A$59,"="&amp;A11,'Travel-Other vehicles'!$K$12:$K$59),"")</f>
        <v>0</v>
      </c>
      <c r="K11" s="901">
        <f>IFERROR(SUMIF('Anaesthetic gases'!$A$11:$A$54,"="&amp;A11,'Anaesthetic gases'!$P$11:$P$54),"")</f>
        <v>0</v>
      </c>
      <c r="L11" s="900">
        <f>IFERROR(SUMIF('Refrigerant gases'!$A$12:$A$55,"="&amp;A11,'Refrigerant gases'!$P$12:$P$55),"")</f>
        <v>0</v>
      </c>
      <c r="M11" s="892" t="s">
        <v>200</v>
      </c>
      <c r="N11" s="901">
        <f>IFERROR(SUMIF(Waste!$A$17:$A$108,"="&amp;A11,Waste!$N$17:$N$108),"")</f>
        <v>0</v>
      </c>
      <c r="O11" s="903">
        <f>IFERROR(SUMIF(Inhalers!$A$13:$A$106,"="&amp;A11,Inhalers!$M$13:$M$106)+SUMIF(Inhalers!$A$13:$A$106,"="&amp;A11,Inhalers!$N$13:$N$106),"")</f>
        <v>0</v>
      </c>
      <c r="P11" s="905">
        <f t="shared" si="0"/>
        <v>0</v>
      </c>
    </row>
    <row r="12" spans="1:23" x14ac:dyDescent="0.35">
      <c r="A12" s="1247" t="str">
        <f>Buildings!B11</f>
        <v>Not linked to a site</v>
      </c>
      <c r="B12" s="901">
        <f>IFERROR(SUMIF(Energy!$B$16:$B$46,"="&amp;A12,Energy!$O$16:$O$46),"")</f>
        <v>0</v>
      </c>
      <c r="C12" s="901">
        <f>IFERROR(SUMIF(Energy!$B$81:$B$110,"="&amp;A12,Energy!$O$81:$O$110),"")</f>
        <v>0</v>
      </c>
      <c r="D12" s="901">
        <f>IFERROR(SUMIF(Energy!$B$113:$B$142,"="&amp;A12,Energy!$O$113:$O$142),"")</f>
        <v>0</v>
      </c>
      <c r="E12" s="901">
        <f>IFERROR(SUMIF(Energy!$B$145:$B$174,"=" &amp;A12,Energy!$O$145:$O$174),"")</f>
        <v>0</v>
      </c>
      <c r="F12" s="901">
        <f>IFERROR(SUMIF(Energy!$B$177:$B$226,"=" &amp;'Building Totals &amp; Benchmarking'!A12,Energy!$O$177:$O$226),"")</f>
        <v>0</v>
      </c>
      <c r="G12" s="901">
        <f>IFERROR(SUMIF(Energy!$B$229:$B$258,"=" &amp;'Building Totals &amp; Benchmarking'!A12,Energy!$O$229:$O$258),"")</f>
        <v>0</v>
      </c>
      <c r="H12" s="901">
        <f>IFERROR(SUMIF('Vehicle-Fuel'!$A$13:$A$60,"="&amp;A12,'Vehicle-Fuel'!$S$13:$S$60),"")</f>
        <v>0</v>
      </c>
      <c r="I12" s="901">
        <f>IFERROR(SUMIF('Vehicle-Distance'!$A$14:$A$61,"="&amp;A12,'Vehicle-Distance'!$L$14:$L$61),"")</f>
        <v>0</v>
      </c>
      <c r="J12" s="901">
        <f>IFERROR(SUMIF('Travel-Other vehicles'!$A$12:$A$59,"="&amp;A12,'Travel-Other vehicles'!$K$12:$K$59),"")</f>
        <v>0</v>
      </c>
      <c r="K12" s="901">
        <f>IFERROR(SUMIF('Anaesthetic gases'!$A$11:$A$54,"="&amp;A12,'Anaesthetic gases'!$P$11:$P$54),"")</f>
        <v>0</v>
      </c>
      <c r="L12" s="900">
        <f>IFERROR(SUMIF('Refrigerant gases'!$A$12:$A$55,"="&amp;A12,'Refrigerant gases'!$P$12:$P$55),"")</f>
        <v>0</v>
      </c>
      <c r="M12" s="892" t="s">
        <v>200</v>
      </c>
      <c r="N12" s="901">
        <f>IFERROR(SUMIF(Waste!$A$17:$A$108,"="&amp;A12,Waste!$N$17:$N$108),"")</f>
        <v>0</v>
      </c>
      <c r="O12" s="903">
        <f>IFERROR(SUMIF(Inhalers!$A$13:$A$106,"="&amp;A12,Inhalers!$M$13:$M$106)+SUMIF(Inhalers!$A$13:$A$106,"="&amp;A12,Inhalers!$N$13:$N$106),"")</f>
        <v>0</v>
      </c>
      <c r="P12" s="905">
        <f t="shared" si="0"/>
        <v>0</v>
      </c>
    </row>
    <row r="13" spans="1:23" x14ac:dyDescent="0.35">
      <c r="A13" s="1247" t="str">
        <f>Buildings!B12</f>
        <v>Laudium</v>
      </c>
      <c r="B13" s="901">
        <f>IFERROR(SUMIF(Energy!$B$16:$B$46,"="&amp;A13,Energy!$O$16:$O$46),"")</f>
        <v>0</v>
      </c>
      <c r="C13" s="901">
        <f>IFERROR(SUMIF(Energy!$B$81:$B$110,"="&amp;A13,Energy!$O$81:$O$110),"")</f>
        <v>0</v>
      </c>
      <c r="D13" s="901">
        <f>IFERROR(SUMIF(Energy!$B$113:$B$142,"="&amp;A13,Energy!$O$113:$O$142),"")</f>
        <v>0</v>
      </c>
      <c r="E13" s="901">
        <f>IFERROR(SUMIF(Energy!$B$145:$B$174,"=" &amp;A13,Energy!$O$145:$O$174),"")</f>
        <v>0</v>
      </c>
      <c r="F13" s="901">
        <f>IFERROR(SUMIF(Energy!$B$177:$B$226,"=" &amp;'Building Totals &amp; Benchmarking'!A13,Energy!$O$177:$O$226),"")</f>
        <v>1103.104</v>
      </c>
      <c r="G13" s="901">
        <f>IFERROR(SUMIF(Energy!$B$229:$B$258,"=" &amp;'Building Totals &amp; Benchmarking'!A13,Energy!$O$229:$O$258),"")</f>
        <v>0</v>
      </c>
      <c r="H13" s="901">
        <f>IFERROR(SUMIF('Vehicle-Fuel'!$A$13:$A$60,"="&amp;A13,'Vehicle-Fuel'!$S$13:$S$60),"")</f>
        <v>925.86800000000005</v>
      </c>
      <c r="I13" s="901">
        <f>IFERROR(SUMIF('Vehicle-Distance'!$A$14:$A$61,"="&amp;A13,'Vehicle-Distance'!$L$14:$L$61),"")</f>
        <v>0</v>
      </c>
      <c r="J13" s="901">
        <f>IFERROR(SUMIF('Travel-Other vehicles'!$A$12:$A$59,"="&amp;A13,'Travel-Other vehicles'!$K$12:$K$59),"")</f>
        <v>0</v>
      </c>
      <c r="K13" s="901">
        <f>IFERROR(SUMIF('Anaesthetic gases'!$A$11:$A$54,"="&amp;A13,'Anaesthetic gases'!$P$11:$P$54),"")</f>
        <v>0</v>
      </c>
      <c r="L13" s="900">
        <f>IFERROR(SUMIF('Refrigerant gases'!$A$12:$A$55,"="&amp;A13,'Refrigerant gases'!$P$12:$P$55),"")</f>
        <v>1380</v>
      </c>
      <c r="M13" s="892" t="s">
        <v>200</v>
      </c>
      <c r="N13" s="901">
        <f>IFERROR(SUMIF(Waste!$A$17:$A$108,"="&amp;A13,Waste!$N$17:$N$108),"")</f>
        <v>0</v>
      </c>
      <c r="O13" s="903">
        <f>IFERROR(SUMIF(Inhalers!$A$13:$A$106,"="&amp;A13,Inhalers!$M$13:$M$106)+SUMIF(Inhalers!$A$13:$A$106,"="&amp;A13,Inhalers!$N$13:$N$106),"")</f>
        <v>0</v>
      </c>
      <c r="P13" s="905">
        <f t="shared" si="0"/>
        <v>3408.9720000000002</v>
      </c>
    </row>
    <row r="14" spans="1:23" x14ac:dyDescent="0.35">
      <c r="A14" s="1247" t="str">
        <f>Buildings!B13</f>
        <v>Stanza</v>
      </c>
      <c r="B14" s="901">
        <f>IFERROR(SUMIF(Energy!$B$16:$B$46,"="&amp;A14,Energy!$O$16:$O$46),"")</f>
        <v>0</v>
      </c>
      <c r="C14" s="901">
        <f>IFERROR(SUMIF(Energy!$B$81:$B$110,"="&amp;A14,Energy!$O$81:$O$110),"")</f>
        <v>0</v>
      </c>
      <c r="D14" s="901">
        <f>IFERROR(SUMIF(Energy!$B$113:$B$142,"="&amp;A14,Energy!$O$113:$O$142),"")</f>
        <v>0</v>
      </c>
      <c r="E14" s="901">
        <f>IFERROR(SUMIF(Energy!$B$145:$B$174,"=" &amp;A14,Energy!$O$145:$O$174),"")</f>
        <v>0</v>
      </c>
      <c r="F14" s="901">
        <f>IFERROR(SUMIF(Energy!$B$177:$B$226,"=" &amp;'Building Totals &amp; Benchmarking'!A14,Energy!$O$177:$O$226),"")</f>
        <v>0</v>
      </c>
      <c r="G14" s="901">
        <f>IFERROR(SUMIF(Energy!$B$229:$B$258,"=" &amp;'Building Totals &amp; Benchmarking'!A14,Energy!$O$229:$O$258),"")</f>
        <v>0</v>
      </c>
      <c r="H14" s="901">
        <f>IFERROR(SUMIF('Vehicle-Fuel'!$A$13:$A$60,"="&amp;A14,'Vehicle-Fuel'!$S$13:$S$60),"")</f>
        <v>0</v>
      </c>
      <c r="I14" s="901">
        <f>IFERROR(SUMIF('Vehicle-Distance'!$A$14:$A$61,"="&amp;A14,'Vehicle-Distance'!$L$14:$L$61),"")</f>
        <v>0</v>
      </c>
      <c r="J14" s="901">
        <f>IFERROR(SUMIF('Travel-Other vehicles'!$A$12:$A$59,"="&amp;A14,'Travel-Other vehicles'!$K$12:$K$59),"")</f>
        <v>0</v>
      </c>
      <c r="K14" s="901">
        <f>IFERROR(SUMIF('Anaesthetic gases'!$A$11:$A$54,"="&amp;A14,'Anaesthetic gases'!$P$11:$P$54),"")</f>
        <v>0</v>
      </c>
      <c r="L14" s="900">
        <f>IFERROR(SUMIF('Refrigerant gases'!$A$12:$A$55,"="&amp;A14,'Refrigerant gases'!$P$12:$P$55),"")</f>
        <v>0</v>
      </c>
      <c r="M14" s="892" t="s">
        <v>200</v>
      </c>
      <c r="N14" s="901">
        <f>IFERROR(SUMIF(Waste!$A$17:$A$108,"="&amp;A14,Waste!$N$17:$N$108),"")</f>
        <v>0</v>
      </c>
      <c r="O14" s="903">
        <f>IFERROR(SUMIF(Inhalers!$A$13:$A$106,"="&amp;A14,Inhalers!$M$13:$M$106)+SUMIF(Inhalers!$A$13:$A$106,"="&amp;A14,Inhalers!$N$13:$N$106),"")</f>
        <v>0</v>
      </c>
      <c r="P14" s="905">
        <f t="shared" si="0"/>
        <v>0</v>
      </c>
    </row>
    <row r="15" spans="1:23" x14ac:dyDescent="0.35">
      <c r="A15" s="1247">
        <f>Buildings!B14</f>
        <v>0</v>
      </c>
      <c r="B15" s="901">
        <f>IFERROR(SUMIF(Energy!$B$16:$B$46,"="&amp;A15,Energy!$O$16:$O$46),"")</f>
        <v>0</v>
      </c>
      <c r="C15" s="901">
        <f>IFERROR(SUMIF(Energy!$B$81:$B$110,"="&amp;A15,Energy!$O$81:$O$110),"")</f>
        <v>0</v>
      </c>
      <c r="D15" s="901">
        <f>IFERROR(SUMIF(Energy!$B$113:$B$142,"="&amp;A15,Energy!$O$113:$O$142),"")</f>
        <v>0</v>
      </c>
      <c r="E15" s="901">
        <f>IFERROR(SUMIF(Energy!$B$145:$B$174,"=" &amp;A15,Energy!$O$145:$O$174),"")</f>
        <v>0</v>
      </c>
      <c r="F15" s="901">
        <f>IFERROR(SUMIF(Energy!$B$177:$B$226,"=" &amp;'Building Totals &amp; Benchmarking'!A15,Energy!$O$177:$O$226),"")</f>
        <v>0</v>
      </c>
      <c r="G15" s="901">
        <f>IFERROR(SUMIF(Energy!$B$229:$B$258,"=" &amp;'Building Totals &amp; Benchmarking'!A15,Energy!$O$229:$O$258),"")</f>
        <v>0</v>
      </c>
      <c r="H15" s="901">
        <f>IFERROR(SUMIF('Vehicle-Fuel'!$A$13:$A$60,"="&amp;A15,'Vehicle-Fuel'!$S$13:$S$60),"")</f>
        <v>0</v>
      </c>
      <c r="I15" s="901">
        <f>IFERROR(SUMIF('Vehicle-Distance'!$A$14:$A$61,"="&amp;A15,'Vehicle-Distance'!$L$14:$L$61),"")</f>
        <v>0</v>
      </c>
      <c r="J15" s="901">
        <f>IFERROR(SUMIF('Travel-Other vehicles'!$A$12:$A$59,"="&amp;A15,'Travel-Other vehicles'!$K$12:$K$59),"")</f>
        <v>0</v>
      </c>
      <c r="K15" s="901">
        <f>IFERROR(SUMIF('Anaesthetic gases'!$A$11:$A$54,"="&amp;A15,'Anaesthetic gases'!$P$11:$P$54),"")</f>
        <v>0</v>
      </c>
      <c r="L15" s="900">
        <f>IFERROR(SUMIF('Refrigerant gases'!$A$12:$A$55,"="&amp;A15,'Refrigerant gases'!$P$12:$P$55),"")</f>
        <v>0</v>
      </c>
      <c r="M15" s="892" t="s">
        <v>200</v>
      </c>
      <c r="N15" s="901">
        <f>IFERROR(SUMIF(Waste!$A$17:$A$108,"="&amp;A15,Waste!$N$17:$N$108),"")</f>
        <v>0</v>
      </c>
      <c r="O15" s="903">
        <f>IFERROR(SUMIF(Inhalers!$A$13:$A$106,"="&amp;A15,Inhalers!$M$13:$M$106)+SUMIF(Inhalers!$A$13:$A$106,"="&amp;A15,Inhalers!$N$13:$N$106),"")</f>
        <v>0</v>
      </c>
      <c r="P15" s="905">
        <f t="shared" si="0"/>
        <v>0</v>
      </c>
    </row>
    <row r="16" spans="1:23" x14ac:dyDescent="0.35">
      <c r="A16" s="1247">
        <f>Buildings!B15</f>
        <v>0</v>
      </c>
      <c r="B16" s="901">
        <f>IFERROR(SUMIF(Energy!$B$16:$B$46,"="&amp;A16,Energy!$O$16:$O$46),"")</f>
        <v>0</v>
      </c>
      <c r="C16" s="901">
        <f>IFERROR(SUMIF(Energy!$B$81:$B$110,"="&amp;A16,Energy!$O$81:$O$110),"")</f>
        <v>0</v>
      </c>
      <c r="D16" s="901">
        <f>IFERROR(SUMIF(Energy!$B$113:$B$142,"="&amp;A16,Energy!$O$113:$O$142),"")</f>
        <v>0</v>
      </c>
      <c r="E16" s="901">
        <f>IFERROR(SUMIF(Energy!$B$145:$B$174,"=" &amp;A16,Energy!$O$145:$O$174),"")</f>
        <v>0</v>
      </c>
      <c r="F16" s="901">
        <f>IFERROR(SUMIF(Energy!$B$177:$B$226,"=" &amp;'Building Totals &amp; Benchmarking'!A16,Energy!$O$177:$O$226),"")</f>
        <v>0</v>
      </c>
      <c r="G16" s="901">
        <f>IFERROR(SUMIF(Energy!$B$229:$B$258,"=" &amp;'Building Totals &amp; Benchmarking'!A16,Energy!$O$229:$O$258),"")</f>
        <v>0</v>
      </c>
      <c r="H16" s="901">
        <f>IFERROR(SUMIF('Vehicle-Fuel'!$A$13:$A$60,"="&amp;A16,'Vehicle-Fuel'!$S$13:$S$60),"")</f>
        <v>0</v>
      </c>
      <c r="I16" s="901">
        <f>IFERROR(SUMIF('Vehicle-Distance'!$A$14:$A$61,"="&amp;A16,'Vehicle-Distance'!$L$14:$L$61),"")</f>
        <v>0</v>
      </c>
      <c r="J16" s="901">
        <f>IFERROR(SUMIF('Travel-Other vehicles'!$A$12:$A$59,"="&amp;A16,'Travel-Other vehicles'!$K$12:$K$59),"")</f>
        <v>0</v>
      </c>
      <c r="K16" s="901">
        <f>IFERROR(SUMIF('Anaesthetic gases'!$A$11:$A$54,"="&amp;A16,'Anaesthetic gases'!$P$11:$P$54),"")</f>
        <v>0</v>
      </c>
      <c r="L16" s="900">
        <f>IFERROR(SUMIF('Refrigerant gases'!$A$12:$A$55,"="&amp;A16,'Refrigerant gases'!$P$12:$P$55),"")</f>
        <v>0</v>
      </c>
      <c r="M16" s="892" t="s">
        <v>200</v>
      </c>
      <c r="N16" s="901">
        <f>IFERROR(SUMIF(Waste!$A$17:$A$108,"="&amp;A16,Waste!$N$17:$N$108),"")</f>
        <v>0</v>
      </c>
      <c r="O16" s="903">
        <f>IFERROR(SUMIF(Inhalers!$A$13:$A$106,"="&amp;A16,Inhalers!$M$13:$M$106)+SUMIF(Inhalers!$A$13:$A$106,"="&amp;A16,Inhalers!$N$13:$N$106),"")</f>
        <v>0</v>
      </c>
      <c r="P16" s="905">
        <f t="shared" si="0"/>
        <v>0</v>
      </c>
    </row>
    <row r="17" spans="1:16" x14ac:dyDescent="0.35">
      <c r="A17" s="1247">
        <f>Buildings!B16</f>
        <v>0</v>
      </c>
      <c r="B17" s="901">
        <f>IFERROR(SUMIF(Energy!$B$16:$B$46,"="&amp;A17,Energy!$O$16:$O$46),"")</f>
        <v>0</v>
      </c>
      <c r="C17" s="901">
        <f>IFERROR(SUMIF(Energy!$B$81:$B$110,"="&amp;A17,Energy!$O$81:$O$110),"")</f>
        <v>0</v>
      </c>
      <c r="D17" s="901">
        <f>IFERROR(SUMIF(Energy!$B$113:$B$142,"="&amp;A17,Energy!$O$113:$O$142),"")</f>
        <v>0</v>
      </c>
      <c r="E17" s="901">
        <f>IFERROR(SUMIF(Energy!$B$145:$B$174,"=" &amp;A17,Energy!$O$145:$O$174),"")</f>
        <v>0</v>
      </c>
      <c r="F17" s="901">
        <f>IFERROR(SUMIF(Energy!$B$177:$B$226,"=" &amp;'Building Totals &amp; Benchmarking'!A17,Energy!$O$177:$O$226),"")</f>
        <v>0</v>
      </c>
      <c r="G17" s="901">
        <f>IFERROR(SUMIF(Energy!$B$229:$B$258,"=" &amp;'Building Totals &amp; Benchmarking'!A17,Energy!$O$229:$O$258),"")</f>
        <v>0</v>
      </c>
      <c r="H17" s="901">
        <f>IFERROR(SUMIF('Vehicle-Fuel'!$A$13:$A$60,"="&amp;A17,'Vehicle-Fuel'!$S$13:$S$60),"")</f>
        <v>0</v>
      </c>
      <c r="I17" s="901">
        <f>IFERROR(SUMIF('Vehicle-Distance'!$A$14:$A$61,"="&amp;A17,'Vehicle-Distance'!$L$14:$L$61),"")</f>
        <v>0</v>
      </c>
      <c r="J17" s="901">
        <f>IFERROR(SUMIF('Travel-Other vehicles'!$A$12:$A$59,"="&amp;A17,'Travel-Other vehicles'!$K$12:$K$59),"")</f>
        <v>0</v>
      </c>
      <c r="K17" s="901">
        <f>IFERROR(SUMIF('Anaesthetic gases'!$A$11:$A$54,"="&amp;A17,'Anaesthetic gases'!$P$11:$P$54),"")</f>
        <v>0</v>
      </c>
      <c r="L17" s="900">
        <f>IFERROR(SUMIF('Refrigerant gases'!$A$12:$A$55,"="&amp;A17,'Refrigerant gases'!$P$12:$P$55),"")</f>
        <v>0</v>
      </c>
      <c r="M17" s="892" t="s">
        <v>200</v>
      </c>
      <c r="N17" s="901">
        <f>IFERROR(SUMIF(Waste!$A$17:$A$108,"="&amp;A17,Waste!$N$17:$N$108),"")</f>
        <v>0</v>
      </c>
      <c r="O17" s="903">
        <f>IFERROR(SUMIF(Inhalers!$A$13:$A$106,"="&amp;A17,Inhalers!$M$13:$M$106)+SUMIF(Inhalers!$A$13:$A$106,"="&amp;A17,Inhalers!$N$13:$N$106),"")</f>
        <v>0</v>
      </c>
      <c r="P17" s="905">
        <f t="shared" si="0"/>
        <v>0</v>
      </c>
    </row>
    <row r="18" spans="1:16" x14ac:dyDescent="0.35">
      <c r="A18" s="1247">
        <f>Buildings!B17</f>
        <v>0</v>
      </c>
      <c r="B18" s="901">
        <f>IFERROR(SUMIF(Energy!$B$16:$B$46,"="&amp;A18,Energy!$O$16:$O$46),"")</f>
        <v>0</v>
      </c>
      <c r="C18" s="901">
        <f>IFERROR(SUMIF(Energy!$B$81:$B$110,"="&amp;A18,Energy!$O$81:$O$110),"")</f>
        <v>0</v>
      </c>
      <c r="D18" s="901">
        <f>IFERROR(SUMIF(Energy!$B$113:$B$142,"="&amp;A18,Energy!$O$113:$O$142),"")</f>
        <v>0</v>
      </c>
      <c r="E18" s="901">
        <f>IFERROR(SUMIF(Energy!$B$145:$B$174,"=" &amp;A18,Energy!$O$145:$O$174),"")</f>
        <v>0</v>
      </c>
      <c r="F18" s="901">
        <f>IFERROR(SUMIF(Energy!$B$177:$B$226,"=" &amp;'Building Totals &amp; Benchmarking'!A18,Energy!$O$177:$O$226),"")</f>
        <v>0</v>
      </c>
      <c r="G18" s="901">
        <f>IFERROR(SUMIF(Energy!$B$229:$B$258,"=" &amp;'Building Totals &amp; Benchmarking'!A18,Energy!$O$229:$O$258),"")</f>
        <v>0</v>
      </c>
      <c r="H18" s="901">
        <f>IFERROR(SUMIF('Vehicle-Fuel'!$A$13:$A$60,"="&amp;A18,'Vehicle-Fuel'!$S$13:$S$60),"")</f>
        <v>0</v>
      </c>
      <c r="I18" s="901">
        <f>IFERROR(SUMIF('Vehicle-Distance'!$A$14:$A$61,"="&amp;A18,'Vehicle-Distance'!$L$14:$L$61),"")</f>
        <v>0</v>
      </c>
      <c r="J18" s="901">
        <f>IFERROR(SUMIF('Travel-Other vehicles'!$A$12:$A$59,"="&amp;A18,'Travel-Other vehicles'!$K$12:$K$59),"")</f>
        <v>0</v>
      </c>
      <c r="K18" s="901">
        <f>IFERROR(SUMIF('Anaesthetic gases'!$A$11:$A$54,"="&amp;A18,'Anaesthetic gases'!$P$11:$P$54),"")</f>
        <v>0</v>
      </c>
      <c r="L18" s="900">
        <f>IFERROR(SUMIF('Refrigerant gases'!$A$12:$A$55,"="&amp;A18,'Refrigerant gases'!$P$12:$P$55),"")</f>
        <v>0</v>
      </c>
      <c r="M18" s="892" t="s">
        <v>200</v>
      </c>
      <c r="N18" s="901">
        <f>IFERROR(SUMIF(Waste!$A$17:$A$108,"="&amp;A18,Waste!$N$17:$N$108),"")</f>
        <v>0</v>
      </c>
      <c r="O18" s="903">
        <f>IFERROR(SUMIF(Inhalers!$A$13:$A$106,"="&amp;A18,Inhalers!$M$13:$M$106)+SUMIF(Inhalers!$A$13:$A$106,"="&amp;A18,Inhalers!$N$13:$N$106),"")</f>
        <v>0</v>
      </c>
      <c r="P18" s="905">
        <f t="shared" si="0"/>
        <v>0</v>
      </c>
    </row>
    <row r="19" spans="1:16" x14ac:dyDescent="0.35">
      <c r="A19" s="1247">
        <f>Buildings!B18</f>
        <v>0</v>
      </c>
      <c r="B19" s="901">
        <f>IFERROR(SUMIF(Energy!$B$16:$B$46,"="&amp;A19,Energy!$O$16:$O$46),"")</f>
        <v>0</v>
      </c>
      <c r="C19" s="901">
        <f>IFERROR(SUMIF(Energy!$B$81:$B$110,"="&amp;A19,Energy!$O$81:$O$110),"")</f>
        <v>0</v>
      </c>
      <c r="D19" s="901">
        <f>IFERROR(SUMIF(Energy!$B$113:$B$142,"="&amp;A19,Energy!$O$113:$O$142),"")</f>
        <v>0</v>
      </c>
      <c r="E19" s="901">
        <f>IFERROR(SUMIF(Energy!$B$145:$B$174,"=" &amp;A19,Energy!$O$145:$O$174),"")</f>
        <v>0</v>
      </c>
      <c r="F19" s="901">
        <f>IFERROR(SUMIF(Energy!$B$177:$B$226,"=" &amp;'Building Totals &amp; Benchmarking'!A19,Energy!$O$177:$O$226),"")</f>
        <v>0</v>
      </c>
      <c r="G19" s="901">
        <f>IFERROR(SUMIF(Energy!$B$229:$B$258,"=" &amp;'Building Totals &amp; Benchmarking'!A19,Energy!$O$229:$O$258),"")</f>
        <v>0</v>
      </c>
      <c r="H19" s="901">
        <f>IFERROR(SUMIF('Vehicle-Fuel'!$A$13:$A$60,"="&amp;A19,'Vehicle-Fuel'!$S$13:$S$60),"")</f>
        <v>0</v>
      </c>
      <c r="I19" s="901">
        <f>IFERROR(SUMIF('Vehicle-Distance'!$A$14:$A$61,"="&amp;A19,'Vehicle-Distance'!$L$14:$L$61),"")</f>
        <v>0</v>
      </c>
      <c r="J19" s="901">
        <f>IFERROR(SUMIF('Travel-Other vehicles'!$A$12:$A$59,"="&amp;A19,'Travel-Other vehicles'!$K$12:$K$59),"")</f>
        <v>0</v>
      </c>
      <c r="K19" s="901">
        <f>IFERROR(SUMIF('Anaesthetic gases'!$A$11:$A$54,"="&amp;A19,'Anaesthetic gases'!$P$11:$P$54),"")</f>
        <v>0</v>
      </c>
      <c r="L19" s="900">
        <f>IFERROR(SUMIF('Refrigerant gases'!$A$12:$A$55,"="&amp;A19,'Refrigerant gases'!$P$12:$P$55),"")</f>
        <v>0</v>
      </c>
      <c r="M19" s="892" t="s">
        <v>200</v>
      </c>
      <c r="N19" s="901">
        <f>IFERROR(SUMIF(Waste!$A$17:$A$108,"="&amp;A19,Waste!$N$17:$N$108),"")</f>
        <v>0</v>
      </c>
      <c r="O19" s="903">
        <f>IFERROR(SUMIF(Inhalers!$A$13:$A$106,"="&amp;A19,Inhalers!$M$13:$M$106)+SUMIF(Inhalers!$A$13:$A$106,"="&amp;A19,Inhalers!$N$13:$N$106),"")</f>
        <v>0</v>
      </c>
      <c r="P19" s="905">
        <f t="shared" si="0"/>
        <v>0</v>
      </c>
    </row>
    <row r="20" spans="1:16" x14ac:dyDescent="0.35">
      <c r="A20" s="1247">
        <f>Buildings!B19</f>
        <v>0</v>
      </c>
      <c r="B20" s="901">
        <f>IFERROR(SUMIF(Energy!$B$16:$B$46,"="&amp;A20,Energy!$O$16:$O$46),"")</f>
        <v>0</v>
      </c>
      <c r="C20" s="901">
        <f>IFERROR(SUMIF(Energy!$B$81:$B$110,"="&amp;A20,Energy!$O$81:$O$110),"")</f>
        <v>0</v>
      </c>
      <c r="D20" s="901">
        <f>IFERROR(SUMIF(Energy!$B$113:$B$142,"="&amp;A20,Energy!$O$113:$O$142),"")</f>
        <v>0</v>
      </c>
      <c r="E20" s="901">
        <f>IFERROR(SUMIF(Energy!$B$145:$B$174,"=" &amp;A20,Energy!$O$145:$O$174),"")</f>
        <v>0</v>
      </c>
      <c r="F20" s="901">
        <f>IFERROR(SUMIF(Energy!$B$177:$B$226,"=" &amp;'Building Totals &amp; Benchmarking'!A20,Energy!$O$177:$O$226),"")</f>
        <v>0</v>
      </c>
      <c r="G20" s="901">
        <f>IFERROR(SUMIF(Energy!$B$229:$B$258,"=" &amp;'Building Totals &amp; Benchmarking'!A20,Energy!$O$229:$O$258),"")</f>
        <v>0</v>
      </c>
      <c r="H20" s="901">
        <f>IFERROR(SUMIF('Vehicle-Fuel'!$A$13:$A$60,"="&amp;A20,'Vehicle-Fuel'!$S$13:$S$60),"")</f>
        <v>0</v>
      </c>
      <c r="I20" s="901">
        <f>IFERROR(SUMIF('Vehicle-Distance'!$A$14:$A$61,"="&amp;A20,'Vehicle-Distance'!$L$14:$L$61),"")</f>
        <v>0</v>
      </c>
      <c r="J20" s="901">
        <f>IFERROR(SUMIF('Travel-Other vehicles'!$A$12:$A$59,"="&amp;A20,'Travel-Other vehicles'!$K$12:$K$59),"")</f>
        <v>0</v>
      </c>
      <c r="K20" s="901">
        <f>IFERROR(SUMIF('Anaesthetic gases'!$A$11:$A$54,"="&amp;A20,'Anaesthetic gases'!$P$11:$P$54),"")</f>
        <v>0</v>
      </c>
      <c r="L20" s="900">
        <f>IFERROR(SUMIF('Refrigerant gases'!$A$12:$A$55,"="&amp;A20,'Refrigerant gases'!$P$12:$P$55),"")</f>
        <v>0</v>
      </c>
      <c r="M20" s="892" t="s">
        <v>200</v>
      </c>
      <c r="N20" s="901">
        <f>IFERROR(SUMIF(Waste!$A$17:$A$108,"="&amp;A20,Waste!$N$17:$N$108),"")</f>
        <v>0</v>
      </c>
      <c r="O20" s="903">
        <f>IFERROR(SUMIF(Inhalers!$A$13:$A$106,"="&amp;A20,Inhalers!$M$13:$M$106)+SUMIF(Inhalers!$A$13:$A$106,"="&amp;A20,Inhalers!$N$13:$N$106),"")</f>
        <v>0</v>
      </c>
      <c r="P20" s="905">
        <f t="shared" si="0"/>
        <v>0</v>
      </c>
    </row>
    <row r="21" spans="1:16" x14ac:dyDescent="0.35">
      <c r="A21" s="1247">
        <f>Buildings!B20</f>
        <v>0</v>
      </c>
      <c r="B21" s="901">
        <f>IFERROR(SUMIF(Energy!$B$16:$B$46,"="&amp;A21,Energy!$O$16:$O$46),"")</f>
        <v>0</v>
      </c>
      <c r="C21" s="901">
        <f>IFERROR(SUMIF(Energy!$B$81:$B$110,"="&amp;A21,Energy!$O$81:$O$110),"")</f>
        <v>0</v>
      </c>
      <c r="D21" s="901">
        <f>IFERROR(SUMIF(Energy!$B$113:$B$142,"="&amp;A21,Energy!$O$113:$O$142),"")</f>
        <v>0</v>
      </c>
      <c r="E21" s="901">
        <f>IFERROR(SUMIF(Energy!$B$145:$B$174,"=" &amp;A21,Energy!$O$145:$O$174),"")</f>
        <v>0</v>
      </c>
      <c r="F21" s="901">
        <f>IFERROR(SUMIF(Energy!$B$177:$B$226,"=" &amp;'Building Totals &amp; Benchmarking'!A21,Energy!$O$177:$O$226),"")</f>
        <v>0</v>
      </c>
      <c r="G21" s="901">
        <f>IFERROR(SUMIF(Energy!$B$229:$B$258,"=" &amp;'Building Totals &amp; Benchmarking'!A21,Energy!$O$229:$O$258),"")</f>
        <v>0</v>
      </c>
      <c r="H21" s="901">
        <f>IFERROR(SUMIF('Vehicle-Fuel'!$A$13:$A$60,"="&amp;A21,'Vehicle-Fuel'!$S$13:$S$60),"")</f>
        <v>0</v>
      </c>
      <c r="I21" s="901">
        <f>IFERROR(SUMIF('Vehicle-Distance'!$A$14:$A$61,"="&amp;A21,'Vehicle-Distance'!$L$14:$L$61),"")</f>
        <v>0</v>
      </c>
      <c r="J21" s="901">
        <f>IFERROR(SUMIF('Travel-Other vehicles'!$A$12:$A$59,"="&amp;A21,'Travel-Other vehicles'!$K$12:$K$59),"")</f>
        <v>0</v>
      </c>
      <c r="K21" s="901">
        <f>IFERROR(SUMIF('Anaesthetic gases'!$A$11:$A$54,"="&amp;A21,'Anaesthetic gases'!$P$11:$P$54),"")</f>
        <v>0</v>
      </c>
      <c r="L21" s="900">
        <f>IFERROR(SUMIF('Refrigerant gases'!$A$12:$A$55,"="&amp;A21,'Refrigerant gases'!$P$12:$P$55),"")</f>
        <v>0</v>
      </c>
      <c r="M21" s="892" t="s">
        <v>200</v>
      </c>
      <c r="N21" s="901">
        <f>IFERROR(SUMIF(Waste!$A$17:$A$108,"="&amp;A21,Waste!$N$17:$N$108),"")</f>
        <v>0</v>
      </c>
      <c r="O21" s="903">
        <f>IFERROR(SUMIF(Inhalers!$A$13:$A$106,"="&amp;A21,Inhalers!$M$13:$M$106)+SUMIF(Inhalers!$A$13:$A$106,"="&amp;A21,Inhalers!$N$13:$N$106),"")</f>
        <v>0</v>
      </c>
      <c r="P21" s="905">
        <f t="shared" si="0"/>
        <v>0</v>
      </c>
    </row>
    <row r="22" spans="1:16" x14ac:dyDescent="0.35">
      <c r="A22" s="1247">
        <f>Buildings!B21</f>
        <v>0</v>
      </c>
      <c r="B22" s="901">
        <f>IFERROR(SUMIF(Energy!$B$16:$B$46,"="&amp;A22,Energy!$O$16:$O$46),"")</f>
        <v>0</v>
      </c>
      <c r="C22" s="901">
        <f>IFERROR(SUMIF(Energy!$B$81:$B$110,"="&amp;A22,Energy!$O$81:$O$110),"")</f>
        <v>0</v>
      </c>
      <c r="D22" s="901">
        <f>IFERROR(SUMIF(Energy!$B$113:$B$142,"="&amp;A22,Energy!$O$113:$O$142),"")</f>
        <v>0</v>
      </c>
      <c r="E22" s="901">
        <f>IFERROR(SUMIF(Energy!$B$145:$B$174,"=" &amp;A22,Energy!$O$145:$O$174),"")</f>
        <v>0</v>
      </c>
      <c r="F22" s="901">
        <f>IFERROR(SUMIF(Energy!$B$177:$B$226,"=" &amp;'Building Totals &amp; Benchmarking'!A22,Energy!$O$177:$O$226),"")</f>
        <v>0</v>
      </c>
      <c r="G22" s="901">
        <f>IFERROR(SUMIF(Energy!$B$229:$B$258,"=" &amp;'Building Totals &amp; Benchmarking'!A22,Energy!$O$229:$O$258),"")</f>
        <v>0</v>
      </c>
      <c r="H22" s="901">
        <f>IFERROR(SUMIF('Vehicle-Fuel'!$A$13:$A$60,"="&amp;A22,'Vehicle-Fuel'!$S$13:$S$60),"")</f>
        <v>0</v>
      </c>
      <c r="I22" s="901">
        <f>IFERROR(SUMIF('Vehicle-Distance'!$A$14:$A$61,"="&amp;A22,'Vehicle-Distance'!$L$14:$L$61),"")</f>
        <v>0</v>
      </c>
      <c r="J22" s="901">
        <f>IFERROR(SUMIF('Travel-Other vehicles'!$A$12:$A$59,"="&amp;A22,'Travel-Other vehicles'!$K$12:$K$59),"")</f>
        <v>0</v>
      </c>
      <c r="K22" s="901">
        <f>IFERROR(SUMIF('Anaesthetic gases'!$A$11:$A$54,"="&amp;A22,'Anaesthetic gases'!$P$11:$P$54),"")</f>
        <v>0</v>
      </c>
      <c r="L22" s="900">
        <f>IFERROR(SUMIF('Refrigerant gases'!$A$12:$A$55,"="&amp;A22,'Refrigerant gases'!$P$12:$P$55),"")</f>
        <v>0</v>
      </c>
      <c r="M22" s="892" t="s">
        <v>200</v>
      </c>
      <c r="N22" s="901">
        <f>IFERROR(SUMIF(Waste!$A$17:$A$108,"="&amp;A22,Waste!$N$17:$N$108),"")</f>
        <v>0</v>
      </c>
      <c r="O22" s="903">
        <f>IFERROR(SUMIF(Inhalers!$A$13:$A$106,"="&amp;A22,Inhalers!$M$13:$M$106)+SUMIF(Inhalers!$A$13:$A$106,"="&amp;A22,Inhalers!$N$13:$N$106),"")</f>
        <v>0</v>
      </c>
      <c r="P22" s="905">
        <f t="shared" si="0"/>
        <v>0</v>
      </c>
    </row>
    <row r="23" spans="1:16" x14ac:dyDescent="0.35">
      <c r="A23" s="1247">
        <f>Buildings!B22</f>
        <v>0</v>
      </c>
      <c r="B23" s="901">
        <f>IFERROR(SUMIF(Energy!$B$16:$B$46,"="&amp;A23,Energy!$O$16:$O$46),"")</f>
        <v>0</v>
      </c>
      <c r="C23" s="901">
        <f>IFERROR(SUMIF(Energy!$B$81:$B$110,"="&amp;A23,Energy!$O$81:$O$110),"")</f>
        <v>0</v>
      </c>
      <c r="D23" s="901">
        <f>IFERROR(SUMIF(Energy!$B$113:$B$142,"="&amp;A23,Energy!$O$113:$O$142),"")</f>
        <v>0</v>
      </c>
      <c r="E23" s="901">
        <f>IFERROR(SUMIF(Energy!$B$145:$B$174,"=" &amp;A23,Energy!$O$145:$O$174),"")</f>
        <v>0</v>
      </c>
      <c r="F23" s="901">
        <f>IFERROR(SUMIF(Energy!$B$177:$B$226,"=" &amp;'Building Totals &amp; Benchmarking'!A23,Energy!$O$177:$O$226),"")</f>
        <v>0</v>
      </c>
      <c r="G23" s="901">
        <f>IFERROR(SUMIF(Energy!$B$229:$B$258,"=" &amp;'Building Totals &amp; Benchmarking'!A23,Energy!$O$229:$O$258),"")</f>
        <v>0</v>
      </c>
      <c r="H23" s="901">
        <f>IFERROR(SUMIF('Vehicle-Fuel'!$A$13:$A$60,"="&amp;A23,'Vehicle-Fuel'!$S$13:$S$60),"")</f>
        <v>0</v>
      </c>
      <c r="I23" s="901">
        <f>IFERROR(SUMIF('Vehicle-Distance'!$A$14:$A$61,"="&amp;A23,'Vehicle-Distance'!$L$14:$L$61),"")</f>
        <v>0</v>
      </c>
      <c r="J23" s="901">
        <f>IFERROR(SUMIF('Travel-Other vehicles'!$A$12:$A$59,"="&amp;A23,'Travel-Other vehicles'!$K$12:$K$59),"")</f>
        <v>0</v>
      </c>
      <c r="K23" s="901">
        <f>IFERROR(SUMIF('Anaesthetic gases'!$A$11:$A$54,"="&amp;A23,'Anaesthetic gases'!$P$11:$P$54),"")</f>
        <v>0</v>
      </c>
      <c r="L23" s="900">
        <f>IFERROR(SUMIF('Refrigerant gases'!$A$12:$A$55,"="&amp;A23,'Refrigerant gases'!$P$12:$P$55),"")</f>
        <v>0</v>
      </c>
      <c r="M23" s="892" t="s">
        <v>200</v>
      </c>
      <c r="N23" s="901">
        <f>IFERROR(SUMIF(Waste!$A$17:$A$108,"="&amp;A23,Waste!$N$17:$N$108),"")</f>
        <v>0</v>
      </c>
      <c r="O23" s="903">
        <f>IFERROR(SUMIF(Inhalers!$A$13:$A$106,"="&amp;A23,Inhalers!$M$13:$M$106)+SUMIF(Inhalers!$A$13:$A$106,"="&amp;A23,Inhalers!$N$13:$N$106),"")</f>
        <v>0</v>
      </c>
      <c r="P23" s="905">
        <f t="shared" si="0"/>
        <v>0</v>
      </c>
    </row>
    <row r="24" spans="1:16" x14ac:dyDescent="0.35">
      <c r="A24" s="1247">
        <f>Buildings!B23</f>
        <v>0</v>
      </c>
      <c r="B24" s="901">
        <f>IFERROR(SUMIF(Energy!$B$16:$B$46,"="&amp;A24,Energy!$O$16:$O$46),"")</f>
        <v>0</v>
      </c>
      <c r="C24" s="901">
        <f>IFERROR(SUMIF(Energy!$B$81:$B$110,"="&amp;A24,Energy!$O$81:$O$110),"")</f>
        <v>0</v>
      </c>
      <c r="D24" s="901">
        <f>IFERROR(SUMIF(Energy!$B$113:$B$142,"="&amp;A24,Energy!$O$113:$O$142),"")</f>
        <v>0</v>
      </c>
      <c r="E24" s="901">
        <f>IFERROR(SUMIF(Energy!$B$145:$B$174,"=" &amp;A24,Energy!$O$145:$O$174),"")</f>
        <v>0</v>
      </c>
      <c r="F24" s="901">
        <f>IFERROR(SUMIF(Energy!$B$177:$B$226,"=" &amp;'Building Totals &amp; Benchmarking'!A24,Energy!$O$177:$O$226),"")</f>
        <v>0</v>
      </c>
      <c r="G24" s="901">
        <f>IFERROR(SUMIF(Energy!$B$229:$B$258,"=" &amp;'Building Totals &amp; Benchmarking'!A24,Energy!$O$229:$O$258),"")</f>
        <v>0</v>
      </c>
      <c r="H24" s="901">
        <f>IFERROR(SUMIF('Vehicle-Fuel'!$A$13:$A$60,"="&amp;A24,'Vehicle-Fuel'!$S$13:$S$60),"")</f>
        <v>0</v>
      </c>
      <c r="I24" s="901">
        <f>IFERROR(SUMIF('Vehicle-Distance'!$A$14:$A$61,"="&amp;A24,'Vehicle-Distance'!$L$14:$L$61),"")</f>
        <v>0</v>
      </c>
      <c r="J24" s="901">
        <f>IFERROR(SUMIF('Travel-Other vehicles'!$A$12:$A$59,"="&amp;A24,'Travel-Other vehicles'!$K$12:$K$59),"")</f>
        <v>0</v>
      </c>
      <c r="K24" s="901">
        <f>IFERROR(SUMIF('Anaesthetic gases'!$A$11:$A$54,"="&amp;A24,'Anaesthetic gases'!$P$11:$P$54),"")</f>
        <v>0</v>
      </c>
      <c r="L24" s="900">
        <f>IFERROR(SUMIF('Refrigerant gases'!$A$12:$A$55,"="&amp;A24,'Refrigerant gases'!$P$12:$P$55),"")</f>
        <v>0</v>
      </c>
      <c r="M24" s="892" t="s">
        <v>200</v>
      </c>
      <c r="N24" s="901">
        <f>IFERROR(SUMIF(Waste!$A$17:$A$108,"="&amp;A24,Waste!$N$17:$N$108),"")</f>
        <v>0</v>
      </c>
      <c r="O24" s="903">
        <f>IFERROR(SUMIF(Inhalers!$A$13:$A$106,"="&amp;A24,Inhalers!$M$13:$M$106)+SUMIF(Inhalers!$A$13:$A$106,"="&amp;A24,Inhalers!$N$13:$N$106),"")</f>
        <v>0</v>
      </c>
      <c r="P24" s="905">
        <f t="shared" si="0"/>
        <v>0</v>
      </c>
    </row>
    <row r="25" spans="1:16" x14ac:dyDescent="0.35">
      <c r="A25" s="1247">
        <f>Buildings!B24</f>
        <v>0</v>
      </c>
      <c r="B25" s="901">
        <f>IFERROR(SUMIF(Energy!$B$16:$B$46,"="&amp;A25,Energy!$O$16:$O$46),"")</f>
        <v>0</v>
      </c>
      <c r="C25" s="901">
        <f>IFERROR(SUMIF(Energy!$B$81:$B$110,"="&amp;A25,Energy!$O$81:$O$110),"")</f>
        <v>0</v>
      </c>
      <c r="D25" s="901">
        <f>IFERROR(SUMIF(Energy!$B$113:$B$142,"="&amp;A25,Energy!$O$113:$O$142),"")</f>
        <v>0</v>
      </c>
      <c r="E25" s="901">
        <f>IFERROR(SUMIF(Energy!$B$145:$B$174,"=" &amp;A25,Energy!$O$145:$O$174),"")</f>
        <v>0</v>
      </c>
      <c r="F25" s="901">
        <f>IFERROR(SUMIF(Energy!$B$177:$B$226,"=" &amp;'Building Totals &amp; Benchmarking'!A25,Energy!$O$177:$O$226),"")</f>
        <v>0</v>
      </c>
      <c r="G25" s="901">
        <f>IFERROR(SUMIF(Energy!$B$229:$B$258,"=" &amp;'Building Totals &amp; Benchmarking'!A25,Energy!$O$229:$O$258),"")</f>
        <v>0</v>
      </c>
      <c r="H25" s="901">
        <f>IFERROR(SUMIF('Vehicle-Fuel'!$A$13:$A$60,"="&amp;A25,'Vehicle-Fuel'!$S$13:$S$60),"")</f>
        <v>0</v>
      </c>
      <c r="I25" s="901">
        <f>IFERROR(SUMIF('Vehicle-Distance'!$A$14:$A$61,"="&amp;A25,'Vehicle-Distance'!$L$14:$L$61),"")</f>
        <v>0</v>
      </c>
      <c r="J25" s="901">
        <f>IFERROR(SUMIF('Travel-Other vehicles'!$A$12:$A$59,"="&amp;A25,'Travel-Other vehicles'!$K$12:$K$59),"")</f>
        <v>0</v>
      </c>
      <c r="K25" s="901">
        <f>IFERROR(SUMIF('Anaesthetic gases'!$A$11:$A$54,"="&amp;A25,'Anaesthetic gases'!$P$11:$P$54),"")</f>
        <v>0</v>
      </c>
      <c r="L25" s="900">
        <f>IFERROR(SUMIF('Refrigerant gases'!$A$12:$A$55,"="&amp;A25,'Refrigerant gases'!$P$12:$P$55),"")</f>
        <v>0</v>
      </c>
      <c r="M25" s="892" t="s">
        <v>200</v>
      </c>
      <c r="N25" s="901">
        <f>IFERROR(SUMIF(Waste!$A$17:$A$108,"="&amp;A25,Waste!$N$17:$N$108),"")</f>
        <v>0</v>
      </c>
      <c r="O25" s="903">
        <f>IFERROR(SUMIF(Inhalers!$A$13:$A$106,"="&amp;A25,Inhalers!$M$13:$M$106)+SUMIF(Inhalers!$A$13:$A$106,"="&amp;A25,Inhalers!$N$13:$N$106),"")</f>
        <v>0</v>
      </c>
      <c r="P25" s="905">
        <f t="shared" si="0"/>
        <v>0</v>
      </c>
    </row>
    <row r="26" spans="1:16" x14ac:dyDescent="0.35">
      <c r="A26" s="1247">
        <f>Buildings!B25</f>
        <v>0</v>
      </c>
      <c r="B26" s="901">
        <f>IFERROR(SUMIF(Energy!$B$16:$B$46,"="&amp;A26,Energy!$O$16:$O$46),"")</f>
        <v>0</v>
      </c>
      <c r="C26" s="901">
        <f>IFERROR(SUMIF(Energy!$B$81:$B$110,"="&amp;A26,Energy!$O$81:$O$110),"")</f>
        <v>0</v>
      </c>
      <c r="D26" s="901">
        <f>IFERROR(SUMIF(Energy!$B$113:$B$142,"="&amp;A26,Energy!$O$113:$O$142),"")</f>
        <v>0</v>
      </c>
      <c r="E26" s="901">
        <f>IFERROR(SUMIF(Energy!$B$145:$B$174,"=" &amp;A26,Energy!$O$145:$O$174),"")</f>
        <v>0</v>
      </c>
      <c r="F26" s="901">
        <f>IFERROR(SUMIF(Energy!$B$177:$B$226,"=" &amp;'Building Totals &amp; Benchmarking'!A26,Energy!$O$177:$O$226),"")</f>
        <v>0</v>
      </c>
      <c r="G26" s="901">
        <f>IFERROR(SUMIF(Energy!$B$229:$B$258,"=" &amp;'Building Totals &amp; Benchmarking'!A26,Energy!$O$229:$O$258),"")</f>
        <v>0</v>
      </c>
      <c r="H26" s="901">
        <f>IFERROR(SUMIF('Vehicle-Fuel'!$A$13:$A$60,"="&amp;A26,'Vehicle-Fuel'!$S$13:$S$60),"")</f>
        <v>0</v>
      </c>
      <c r="I26" s="901">
        <f>IFERROR(SUMIF('Vehicle-Distance'!$A$14:$A$61,"="&amp;A26,'Vehicle-Distance'!$L$14:$L$61),"")</f>
        <v>0</v>
      </c>
      <c r="J26" s="901">
        <f>IFERROR(SUMIF('Travel-Other vehicles'!$A$12:$A$59,"="&amp;A26,'Travel-Other vehicles'!$K$12:$K$59),"")</f>
        <v>0</v>
      </c>
      <c r="K26" s="901">
        <f>IFERROR(SUMIF('Anaesthetic gases'!$A$11:$A$54,"="&amp;A26,'Anaesthetic gases'!$P$11:$P$54),"")</f>
        <v>0</v>
      </c>
      <c r="L26" s="900">
        <f>IFERROR(SUMIF('Refrigerant gases'!$A$12:$A$55,"="&amp;A26,'Refrigerant gases'!$P$12:$P$55),"")</f>
        <v>0</v>
      </c>
      <c r="M26" s="892" t="s">
        <v>200</v>
      </c>
      <c r="N26" s="901">
        <f>IFERROR(SUMIF(Waste!$A$17:$A$108,"="&amp;A26,Waste!$N$17:$N$108),"")</f>
        <v>0</v>
      </c>
      <c r="O26" s="903">
        <f>IFERROR(SUMIF(Inhalers!$A$13:$A$106,"="&amp;A26,Inhalers!$M$13:$M$106)+SUMIF(Inhalers!$A$13:$A$106,"="&amp;A26,Inhalers!$N$13:$N$106),"")</f>
        <v>0</v>
      </c>
      <c r="P26" s="905">
        <f t="shared" si="0"/>
        <v>0</v>
      </c>
    </row>
    <row r="27" spans="1:16" x14ac:dyDescent="0.35">
      <c r="A27" s="1247">
        <f>Buildings!B26</f>
        <v>0</v>
      </c>
      <c r="B27" s="901">
        <f>IFERROR(SUMIF(Energy!$B$16:$B$46,"="&amp;A27,Energy!$O$16:$O$46),"")</f>
        <v>0</v>
      </c>
      <c r="C27" s="901">
        <f>IFERROR(SUMIF(Energy!$B$81:$B$110,"="&amp;A27,Energy!$O$81:$O$110),"")</f>
        <v>0</v>
      </c>
      <c r="D27" s="901">
        <f>IFERROR(SUMIF(Energy!$B$113:$B$142,"="&amp;A27,Energy!$O$113:$O$142),"")</f>
        <v>0</v>
      </c>
      <c r="E27" s="901">
        <f>IFERROR(SUMIF(Energy!$B$145:$B$174,"=" &amp;A27,Energy!$O$145:$O$174),"")</f>
        <v>0</v>
      </c>
      <c r="F27" s="901">
        <f>IFERROR(SUMIF(Energy!$B$177:$B$226,"=" &amp;'Building Totals &amp; Benchmarking'!A27,Energy!$O$177:$O$226),"")</f>
        <v>0</v>
      </c>
      <c r="G27" s="901">
        <f>IFERROR(SUMIF(Energy!$B$229:$B$258,"=" &amp;'Building Totals &amp; Benchmarking'!A27,Energy!$O$229:$O$258),"")</f>
        <v>0</v>
      </c>
      <c r="H27" s="901">
        <f>IFERROR(SUMIF('Vehicle-Fuel'!$A$13:$A$60,"="&amp;A27,'Vehicle-Fuel'!$S$13:$S$60),"")</f>
        <v>0</v>
      </c>
      <c r="I27" s="901">
        <f>IFERROR(SUMIF('Vehicle-Distance'!$A$14:$A$61,"="&amp;A27,'Vehicle-Distance'!$L$14:$L$61),"")</f>
        <v>0</v>
      </c>
      <c r="J27" s="901">
        <f>IFERROR(SUMIF('Travel-Other vehicles'!$A$12:$A$59,"="&amp;A27,'Travel-Other vehicles'!$K$12:$K$59),"")</f>
        <v>0</v>
      </c>
      <c r="K27" s="901">
        <f>IFERROR(SUMIF('Anaesthetic gases'!$A$11:$A$54,"="&amp;A27,'Anaesthetic gases'!$P$11:$P$54),"")</f>
        <v>0</v>
      </c>
      <c r="L27" s="900">
        <f>IFERROR(SUMIF('Refrigerant gases'!$A$12:$A$55,"="&amp;A27,'Refrigerant gases'!$P$12:$P$55),"")</f>
        <v>0</v>
      </c>
      <c r="M27" s="892" t="s">
        <v>200</v>
      </c>
      <c r="N27" s="901">
        <f>IFERROR(SUMIF(Waste!$A$17:$A$108,"="&amp;A27,Waste!$N$17:$N$108),"")</f>
        <v>0</v>
      </c>
      <c r="O27" s="903">
        <f>IFERROR(SUMIF(Inhalers!$A$13:$A$106,"="&amp;A27,Inhalers!$M$13:$M$106)+SUMIF(Inhalers!$A$13:$A$106,"="&amp;A27,Inhalers!$N$13:$N$106),"")</f>
        <v>0</v>
      </c>
      <c r="P27" s="905">
        <f t="shared" si="0"/>
        <v>0</v>
      </c>
    </row>
    <row r="28" spans="1:16" x14ac:dyDescent="0.35">
      <c r="A28" s="1247">
        <f>Buildings!B27</f>
        <v>0</v>
      </c>
      <c r="B28" s="901">
        <f>IFERROR(SUMIF(Energy!$B$16:$B$46,"="&amp;A28,Energy!$O$16:$O$46),"")</f>
        <v>0</v>
      </c>
      <c r="C28" s="901">
        <f>IFERROR(SUMIF(Energy!$B$81:$B$110,"="&amp;A28,Energy!$O$81:$O$110),"")</f>
        <v>0</v>
      </c>
      <c r="D28" s="901">
        <f>IFERROR(SUMIF(Energy!$B$113:$B$142,"="&amp;A28,Energy!$O$113:$O$142),"")</f>
        <v>0</v>
      </c>
      <c r="E28" s="901">
        <f>IFERROR(SUMIF(Energy!$B$145:$B$174,"=" &amp;A28,Energy!$O$145:$O$174),"")</f>
        <v>0</v>
      </c>
      <c r="F28" s="901">
        <f>IFERROR(SUMIF(Energy!$B$177:$B$226,"=" &amp;'Building Totals &amp; Benchmarking'!A28,Energy!$O$177:$O$226),"")</f>
        <v>0</v>
      </c>
      <c r="G28" s="901">
        <f>IFERROR(SUMIF(Energy!$B$229:$B$258,"=" &amp;'Building Totals &amp; Benchmarking'!A28,Energy!$O$229:$O$258),"")</f>
        <v>0</v>
      </c>
      <c r="H28" s="901">
        <f>IFERROR(SUMIF('Vehicle-Fuel'!$A$13:$A$60,"="&amp;A28,'Vehicle-Fuel'!$S$13:$S$60),"")</f>
        <v>0</v>
      </c>
      <c r="I28" s="901">
        <f>IFERROR(SUMIF('Vehicle-Distance'!$A$14:$A$61,"="&amp;A28,'Vehicle-Distance'!$L$14:$L$61),"")</f>
        <v>0</v>
      </c>
      <c r="J28" s="901">
        <f>IFERROR(SUMIF('Travel-Other vehicles'!$A$12:$A$59,"="&amp;A28,'Travel-Other vehicles'!$K$12:$K$59),"")</f>
        <v>0</v>
      </c>
      <c r="K28" s="901">
        <f>IFERROR(SUMIF('Anaesthetic gases'!$A$11:$A$54,"="&amp;A28,'Anaesthetic gases'!$P$11:$P$54),"")</f>
        <v>0</v>
      </c>
      <c r="L28" s="900">
        <f>IFERROR(SUMIF('Refrigerant gases'!$A$12:$A$55,"="&amp;A28,'Refrigerant gases'!$P$12:$P$55),"")</f>
        <v>0</v>
      </c>
      <c r="M28" s="892" t="s">
        <v>200</v>
      </c>
      <c r="N28" s="901">
        <f>IFERROR(SUMIF(Waste!$A$17:$A$108,"="&amp;A28,Waste!$N$17:$N$108),"")</f>
        <v>0</v>
      </c>
      <c r="O28" s="903">
        <f>IFERROR(SUMIF(Inhalers!$A$13:$A$106,"="&amp;A28,Inhalers!$M$13:$M$106)+SUMIF(Inhalers!$A$13:$A$106,"="&amp;A28,Inhalers!$N$13:$N$106),"")</f>
        <v>0</v>
      </c>
      <c r="P28" s="905">
        <f t="shared" si="0"/>
        <v>0</v>
      </c>
    </row>
    <row r="29" spans="1:16" x14ac:dyDescent="0.35">
      <c r="A29" s="1247">
        <f>Buildings!B28</f>
        <v>0</v>
      </c>
      <c r="B29" s="901">
        <f>IFERROR(SUMIF(Energy!$B$16:$B$46,"="&amp;A29,Energy!$O$16:$O$46),"")</f>
        <v>0</v>
      </c>
      <c r="C29" s="901">
        <f>IFERROR(SUMIF(Energy!$B$81:$B$110,"="&amp;A29,Energy!$O$81:$O$110),"")</f>
        <v>0</v>
      </c>
      <c r="D29" s="901">
        <f>IFERROR(SUMIF(Energy!$B$113:$B$142,"="&amp;A29,Energy!$O$113:$O$142),"")</f>
        <v>0</v>
      </c>
      <c r="E29" s="901">
        <f>IFERROR(SUMIF(Energy!$B$145:$B$174,"=" &amp;A29,Energy!$O$145:$O$174),"")</f>
        <v>0</v>
      </c>
      <c r="F29" s="901">
        <f>IFERROR(SUMIF(Energy!$B$177:$B$226,"=" &amp;'Building Totals &amp; Benchmarking'!A29,Energy!$O$177:$O$226),"")</f>
        <v>0</v>
      </c>
      <c r="G29" s="901">
        <f>IFERROR(SUMIF(Energy!$B$229:$B$258,"=" &amp;'Building Totals &amp; Benchmarking'!A29,Energy!$O$229:$O$258),"")</f>
        <v>0</v>
      </c>
      <c r="H29" s="901">
        <f>IFERROR(SUMIF('Vehicle-Fuel'!$A$13:$A$60,"="&amp;A29,'Vehicle-Fuel'!$S$13:$S$60),"")</f>
        <v>0</v>
      </c>
      <c r="I29" s="901">
        <f>IFERROR(SUMIF('Vehicle-Distance'!$A$14:$A$61,"="&amp;A29,'Vehicle-Distance'!$L$14:$L$61),"")</f>
        <v>0</v>
      </c>
      <c r="J29" s="901">
        <f>IFERROR(SUMIF('Travel-Other vehicles'!$A$12:$A$59,"="&amp;A29,'Travel-Other vehicles'!$K$12:$K$59),"")</f>
        <v>0</v>
      </c>
      <c r="K29" s="901">
        <f>IFERROR(SUMIF('Anaesthetic gases'!$A$11:$A$54,"="&amp;A29,'Anaesthetic gases'!$P$11:$P$54),"")</f>
        <v>0</v>
      </c>
      <c r="L29" s="900">
        <f>IFERROR(SUMIF('Refrigerant gases'!$A$12:$A$55,"="&amp;A29,'Refrigerant gases'!$P$12:$P$55),"")</f>
        <v>0</v>
      </c>
      <c r="M29" s="892" t="s">
        <v>200</v>
      </c>
      <c r="N29" s="901">
        <f>IFERROR(SUMIF(Waste!$A$17:$A$108,"="&amp;A29,Waste!$N$17:$N$108),"")</f>
        <v>0</v>
      </c>
      <c r="O29" s="903">
        <f>IFERROR(SUMIF(Inhalers!$A$13:$A$106,"="&amp;A29,Inhalers!$M$13:$M$106)+SUMIF(Inhalers!$A$13:$A$106,"="&amp;A29,Inhalers!$N$13:$N$106),"")</f>
        <v>0</v>
      </c>
      <c r="P29" s="905">
        <f t="shared" si="0"/>
        <v>0</v>
      </c>
    </row>
    <row r="30" spans="1:16" x14ac:dyDescent="0.35">
      <c r="A30" s="1247">
        <f>Buildings!B29</f>
        <v>0</v>
      </c>
      <c r="B30" s="901">
        <f>IFERROR(SUMIF(Energy!$B$16:$B$46,"="&amp;A30,Energy!$O$16:$O$46),"")</f>
        <v>0</v>
      </c>
      <c r="C30" s="901">
        <f>IFERROR(SUMIF(Energy!$B$81:$B$110,"="&amp;A30,Energy!$O$81:$O$110),"")</f>
        <v>0</v>
      </c>
      <c r="D30" s="901">
        <f>IFERROR(SUMIF(Energy!$B$113:$B$142,"="&amp;A30,Energy!$O$113:$O$142),"")</f>
        <v>0</v>
      </c>
      <c r="E30" s="901">
        <f>IFERROR(SUMIF(Energy!$B$145:$B$174,"=" &amp;A30,Energy!$O$145:$O$174),"")</f>
        <v>0</v>
      </c>
      <c r="F30" s="901">
        <f>IFERROR(SUMIF(Energy!$B$177:$B$226,"=" &amp;'Building Totals &amp; Benchmarking'!A30,Energy!$O$177:$O$226),"")</f>
        <v>0</v>
      </c>
      <c r="G30" s="901">
        <f>IFERROR(SUMIF(Energy!$B$229:$B$258,"=" &amp;'Building Totals &amp; Benchmarking'!A30,Energy!$O$229:$O$258),"")</f>
        <v>0</v>
      </c>
      <c r="H30" s="901">
        <f>IFERROR(SUMIF('Vehicle-Fuel'!$A$13:$A$60,"="&amp;A30,'Vehicle-Fuel'!$S$13:$S$60),"")</f>
        <v>0</v>
      </c>
      <c r="I30" s="901">
        <f>IFERROR(SUMIF('Vehicle-Distance'!$A$14:$A$61,"="&amp;A30,'Vehicle-Distance'!$L$14:$L$61),"")</f>
        <v>0</v>
      </c>
      <c r="J30" s="901">
        <f>IFERROR(SUMIF('Travel-Other vehicles'!$A$12:$A$59,"="&amp;A30,'Travel-Other vehicles'!$K$12:$K$59),"")</f>
        <v>0</v>
      </c>
      <c r="K30" s="901">
        <f>IFERROR(SUMIF('Anaesthetic gases'!$A$11:$A$54,"="&amp;A30,'Anaesthetic gases'!$P$11:$P$54),"")</f>
        <v>0</v>
      </c>
      <c r="L30" s="900">
        <f>IFERROR(SUMIF('Refrigerant gases'!$A$12:$A$55,"="&amp;A30,'Refrigerant gases'!$P$12:$P$55),"")</f>
        <v>0</v>
      </c>
      <c r="M30" s="892" t="s">
        <v>200</v>
      </c>
      <c r="N30" s="901">
        <f>IFERROR(SUMIF(Waste!$A$17:$A$108,"="&amp;A30,Waste!$N$17:$N$108),"")</f>
        <v>0</v>
      </c>
      <c r="O30" s="903">
        <f>IFERROR(SUMIF(Inhalers!$A$13:$A$106,"="&amp;A30,Inhalers!$M$13:$M$106)+SUMIF(Inhalers!$A$13:$A$106,"="&amp;A30,Inhalers!$N$13:$N$106),"")</f>
        <v>0</v>
      </c>
      <c r="P30" s="905">
        <f t="shared" si="0"/>
        <v>0</v>
      </c>
    </row>
    <row r="31" spans="1:16" x14ac:dyDescent="0.35">
      <c r="A31" s="1247">
        <f>Buildings!B30</f>
        <v>0</v>
      </c>
      <c r="B31" s="901">
        <f>IFERROR(SUMIF(Energy!$B$16:$B$46,"="&amp;A31,Energy!$O$16:$O$46),"")</f>
        <v>0</v>
      </c>
      <c r="C31" s="901">
        <f>IFERROR(SUMIF(Energy!$B$81:$B$110,"="&amp;A31,Energy!$O$81:$O$110),"")</f>
        <v>0</v>
      </c>
      <c r="D31" s="901">
        <f>IFERROR(SUMIF(Energy!$B$113:$B$142,"="&amp;A31,Energy!$O$113:$O$142),"")</f>
        <v>0</v>
      </c>
      <c r="E31" s="901">
        <f>IFERROR(SUMIF(Energy!$B$145:$B$174,"=" &amp;A31,Energy!$O$145:$O$174),"")</f>
        <v>0</v>
      </c>
      <c r="F31" s="901">
        <f>IFERROR(SUMIF(Energy!$B$177:$B$226,"=" &amp;'Building Totals &amp; Benchmarking'!A31,Energy!$O$177:$O$226),"")</f>
        <v>0</v>
      </c>
      <c r="G31" s="901">
        <f>IFERROR(SUMIF(Energy!$B$229:$B$258,"=" &amp;'Building Totals &amp; Benchmarking'!A31,Energy!$O$229:$O$258),"")</f>
        <v>0</v>
      </c>
      <c r="H31" s="901">
        <f>IFERROR(SUMIF('Vehicle-Fuel'!$A$13:$A$60,"="&amp;A31,'Vehicle-Fuel'!$S$13:$S$60),"")</f>
        <v>0</v>
      </c>
      <c r="I31" s="901">
        <f>IFERROR(SUMIF('Vehicle-Distance'!$A$14:$A$61,"="&amp;A31,'Vehicle-Distance'!$L$14:$L$61),"")</f>
        <v>0</v>
      </c>
      <c r="J31" s="901">
        <f>IFERROR(SUMIF('Travel-Other vehicles'!$A$12:$A$59,"="&amp;A31,'Travel-Other vehicles'!$K$12:$K$59),"")</f>
        <v>0</v>
      </c>
      <c r="K31" s="901">
        <f>IFERROR(SUMIF('Anaesthetic gases'!$A$11:$A$54,"="&amp;A31,'Anaesthetic gases'!$P$11:$P$54),"")</f>
        <v>0</v>
      </c>
      <c r="L31" s="900">
        <f>IFERROR(SUMIF('Refrigerant gases'!$A$12:$A$55,"="&amp;A31,'Refrigerant gases'!$P$12:$P$55),"")</f>
        <v>0</v>
      </c>
      <c r="M31" s="892" t="s">
        <v>200</v>
      </c>
      <c r="N31" s="901">
        <f>IFERROR(SUMIF(Waste!$A$17:$A$108,"="&amp;A31,Waste!$N$17:$N$108),"")</f>
        <v>0</v>
      </c>
      <c r="O31" s="903">
        <f>IFERROR(SUMIF(Inhalers!$A$13:$A$106,"="&amp;A31,Inhalers!$M$13:$M$106)+SUMIF(Inhalers!$A$13:$A$106,"="&amp;A31,Inhalers!$N$13:$N$106),"")</f>
        <v>0</v>
      </c>
      <c r="P31" s="905">
        <f t="shared" si="0"/>
        <v>0</v>
      </c>
    </row>
    <row r="32" spans="1:16" x14ac:dyDescent="0.35">
      <c r="A32" s="1247">
        <f>Buildings!B31</f>
        <v>0</v>
      </c>
      <c r="B32" s="901">
        <f>IFERROR(SUMIF(Energy!$B$16:$B$46,"="&amp;A32,Energy!$O$16:$O$46),"")</f>
        <v>0</v>
      </c>
      <c r="C32" s="901">
        <f>IFERROR(SUMIF(Energy!$B$81:$B$110,"="&amp;A32,Energy!$O$81:$O$110),"")</f>
        <v>0</v>
      </c>
      <c r="D32" s="901">
        <f>IFERROR(SUMIF(Energy!$B$113:$B$142,"="&amp;A32,Energy!$O$113:$O$142),"")</f>
        <v>0</v>
      </c>
      <c r="E32" s="901">
        <f>IFERROR(SUMIF(Energy!$B$145:$B$174,"=" &amp;A32,Energy!$O$145:$O$174),"")</f>
        <v>0</v>
      </c>
      <c r="F32" s="901">
        <f>IFERROR(SUMIF(Energy!$B$177:$B$226,"=" &amp;'Building Totals &amp; Benchmarking'!A32,Energy!$O$177:$O$226),"")</f>
        <v>0</v>
      </c>
      <c r="G32" s="901">
        <f>IFERROR(SUMIF(Energy!$B$229:$B$258,"=" &amp;'Building Totals &amp; Benchmarking'!A32,Energy!$O$229:$O$258),"")</f>
        <v>0</v>
      </c>
      <c r="H32" s="901">
        <f>IFERROR(SUMIF('Vehicle-Fuel'!$A$13:$A$60,"="&amp;A32,'Vehicle-Fuel'!$S$13:$S$60),"")</f>
        <v>0</v>
      </c>
      <c r="I32" s="901">
        <f>IFERROR(SUMIF('Vehicle-Distance'!$A$14:$A$61,"="&amp;A32,'Vehicle-Distance'!$L$14:$L$61),"")</f>
        <v>0</v>
      </c>
      <c r="J32" s="901">
        <f>IFERROR(SUMIF('Travel-Other vehicles'!$A$12:$A$59,"="&amp;A32,'Travel-Other vehicles'!$K$12:$K$59),"")</f>
        <v>0</v>
      </c>
      <c r="K32" s="901">
        <f>IFERROR(SUMIF('Anaesthetic gases'!$A$11:$A$54,"="&amp;A32,'Anaesthetic gases'!$P$11:$P$54),"")</f>
        <v>0</v>
      </c>
      <c r="L32" s="900">
        <f>IFERROR(SUMIF('Refrigerant gases'!$A$12:$A$55,"="&amp;A32,'Refrigerant gases'!$P$12:$P$55),"")</f>
        <v>0</v>
      </c>
      <c r="M32" s="892" t="s">
        <v>200</v>
      </c>
      <c r="N32" s="901">
        <f>IFERROR(SUMIF(Waste!$A$17:$A$108,"="&amp;A32,Waste!$N$17:$N$108),"")</f>
        <v>0</v>
      </c>
      <c r="O32" s="903">
        <f>IFERROR(SUMIF(Inhalers!$A$13:$A$106,"="&amp;A32,Inhalers!$M$13:$M$106)+SUMIF(Inhalers!$A$13:$A$106,"="&amp;A32,Inhalers!$N$13:$N$106),"")</f>
        <v>0</v>
      </c>
      <c r="P32" s="905">
        <f t="shared" si="0"/>
        <v>0</v>
      </c>
    </row>
    <row r="33" spans="1:25" x14ac:dyDescent="0.35">
      <c r="A33" s="1247">
        <f>Buildings!B32</f>
        <v>0</v>
      </c>
      <c r="B33" s="901">
        <f>IFERROR(SUMIF(Energy!$B$16:$B$46,"="&amp;A33,Energy!$O$16:$O$46),"")</f>
        <v>0</v>
      </c>
      <c r="C33" s="901">
        <f>IFERROR(SUMIF(Energy!$B$81:$B$110,"="&amp;A33,Energy!$O$81:$O$110),"")</f>
        <v>0</v>
      </c>
      <c r="D33" s="901">
        <f>IFERROR(SUMIF(Energy!$B$113:$B$142,"="&amp;A33,Energy!$O$113:$O$142),"")</f>
        <v>0</v>
      </c>
      <c r="E33" s="901">
        <f>IFERROR(SUMIF(Energy!$B$145:$B$174,"=" &amp;A33,Energy!$O$145:$O$174),"")</f>
        <v>0</v>
      </c>
      <c r="F33" s="901">
        <f>IFERROR(SUMIF(Energy!$B$177:$B$226,"=" &amp;'Building Totals &amp; Benchmarking'!A33,Energy!$O$177:$O$226),"")</f>
        <v>0</v>
      </c>
      <c r="G33" s="901">
        <f>IFERROR(SUMIF(Energy!$B$229:$B$258,"=" &amp;'Building Totals &amp; Benchmarking'!A33,Energy!$O$229:$O$258),"")</f>
        <v>0</v>
      </c>
      <c r="H33" s="901">
        <f>IFERROR(SUMIF('Vehicle-Fuel'!$A$13:$A$60,"="&amp;A33,'Vehicle-Fuel'!$S$13:$S$60),"")</f>
        <v>0</v>
      </c>
      <c r="I33" s="901">
        <f>IFERROR(SUMIF('Vehicle-Distance'!$A$14:$A$61,"="&amp;A33,'Vehicle-Distance'!$L$14:$L$61),"")</f>
        <v>0</v>
      </c>
      <c r="J33" s="901">
        <f>IFERROR(SUMIF('Travel-Other vehicles'!$A$12:$A$59,"="&amp;A33,'Travel-Other vehicles'!$K$12:$K$59),"")</f>
        <v>0</v>
      </c>
      <c r="K33" s="901">
        <f>IFERROR(SUMIF('Anaesthetic gases'!$A$11:$A$54,"="&amp;A33,'Anaesthetic gases'!$P$11:$P$54),"")</f>
        <v>0</v>
      </c>
      <c r="L33" s="900">
        <f>IFERROR(SUMIF('Refrigerant gases'!$A$12:$A$55,"="&amp;A33,'Refrigerant gases'!$P$12:$P$55),"")</f>
        <v>0</v>
      </c>
      <c r="M33" s="892" t="s">
        <v>200</v>
      </c>
      <c r="N33" s="901">
        <f>IFERROR(SUMIF(Waste!$A$17:$A$108,"="&amp;A33,Waste!$N$17:$N$108),"")</f>
        <v>0</v>
      </c>
      <c r="O33" s="903">
        <f>IFERROR(SUMIF(Inhalers!$A$13:$A$106,"="&amp;A33,Inhalers!$M$13:$M$106)+SUMIF(Inhalers!$A$13:$A$106,"="&amp;A33,Inhalers!$N$13:$N$106),"")</f>
        <v>0</v>
      </c>
      <c r="P33" s="905">
        <f t="shared" si="0"/>
        <v>0</v>
      </c>
    </row>
    <row r="34" spans="1:25" x14ac:dyDescent="0.35">
      <c r="A34" s="1247">
        <f>Buildings!B33</f>
        <v>0</v>
      </c>
      <c r="B34" s="901">
        <f>IFERROR(SUMIF(Energy!$B$16:$B$46,"="&amp;A34,Energy!$O$16:$O$46),"")</f>
        <v>0</v>
      </c>
      <c r="C34" s="901">
        <f>IFERROR(SUMIF(Energy!$B$81:$B$110,"="&amp;A34,Energy!$O$81:$O$110),"")</f>
        <v>0</v>
      </c>
      <c r="D34" s="901">
        <f>IFERROR(SUMIF(Energy!$B$113:$B$142,"="&amp;A34,Energy!$O$113:$O$142),"")</f>
        <v>0</v>
      </c>
      <c r="E34" s="901">
        <f>IFERROR(SUMIF(Energy!$B$145:$B$174,"=" &amp;A34,Energy!$O$145:$O$174),"")</f>
        <v>0</v>
      </c>
      <c r="F34" s="901">
        <f>IFERROR(SUMIF(Energy!$B$177:$B$226,"=" &amp;'Building Totals &amp; Benchmarking'!A34,Energy!$O$177:$O$226),"")</f>
        <v>0</v>
      </c>
      <c r="G34" s="901">
        <f>IFERROR(SUMIF(Energy!$B$229:$B$258,"=" &amp;'Building Totals &amp; Benchmarking'!A34,Energy!$O$229:$O$258),"")</f>
        <v>0</v>
      </c>
      <c r="H34" s="901">
        <f>IFERROR(SUMIF('Vehicle-Fuel'!$A$13:$A$60,"="&amp;A34,'Vehicle-Fuel'!$S$13:$S$60),"")</f>
        <v>0</v>
      </c>
      <c r="I34" s="901">
        <f>IFERROR(SUMIF('Vehicle-Distance'!$A$14:$A$61,"="&amp;A34,'Vehicle-Distance'!$L$14:$L$61),"")</f>
        <v>0</v>
      </c>
      <c r="J34" s="901">
        <f>IFERROR(SUMIF('Travel-Other vehicles'!$A$12:$A$59,"="&amp;A34,'Travel-Other vehicles'!$K$12:$K$59),"")</f>
        <v>0</v>
      </c>
      <c r="K34" s="901">
        <f>IFERROR(SUMIF('Anaesthetic gases'!$A$11:$A$54,"="&amp;A34,'Anaesthetic gases'!$P$11:$P$54),"")</f>
        <v>0</v>
      </c>
      <c r="L34" s="900">
        <f>IFERROR(SUMIF('Refrigerant gases'!$A$12:$A$55,"="&amp;A34,'Refrigerant gases'!$P$12:$P$55),"")</f>
        <v>0</v>
      </c>
      <c r="M34" s="892" t="s">
        <v>200</v>
      </c>
      <c r="N34" s="901">
        <f>IFERROR(SUMIF(Waste!$A$17:$A$108,"="&amp;A34,Waste!$N$17:$N$108),"")</f>
        <v>0</v>
      </c>
      <c r="O34" s="903">
        <f>IFERROR(SUMIF(Inhalers!$A$13:$A$106,"="&amp;A34,Inhalers!$M$13:$M$106)+SUMIF(Inhalers!$A$13:$A$106,"="&amp;A34,Inhalers!$N$13:$N$106),"")</f>
        <v>0</v>
      </c>
      <c r="P34" s="905">
        <f t="shared" si="0"/>
        <v>0</v>
      </c>
    </row>
    <row r="35" spans="1:25" x14ac:dyDescent="0.35">
      <c r="A35" s="1247">
        <f>Buildings!B34</f>
        <v>0</v>
      </c>
      <c r="B35" s="901">
        <f>IFERROR(SUMIF(Energy!$B$16:$B$46,"="&amp;A35,Energy!$O$16:$O$46),"")</f>
        <v>0</v>
      </c>
      <c r="C35" s="901">
        <f>IFERROR(SUMIF(Energy!$B$81:$B$110,"="&amp;A35,Energy!$O$81:$O$110),"")</f>
        <v>0</v>
      </c>
      <c r="D35" s="901">
        <f>IFERROR(SUMIF(Energy!$B$113:$B$142,"="&amp;A35,Energy!$O$113:$O$142),"")</f>
        <v>0</v>
      </c>
      <c r="E35" s="901">
        <f>IFERROR(SUMIF(Energy!$B$145:$B$174,"=" &amp;A35,Energy!$O$145:$O$174),"")</f>
        <v>0</v>
      </c>
      <c r="F35" s="901">
        <f>IFERROR(SUMIF(Energy!$B$177:$B$226,"=" &amp;'Building Totals &amp; Benchmarking'!A35,Energy!$O$177:$O$226),"")</f>
        <v>0</v>
      </c>
      <c r="G35" s="901">
        <f>IFERROR(SUMIF(Energy!$B$229:$B$258,"=" &amp;'Building Totals &amp; Benchmarking'!A35,Energy!$O$229:$O$258),"")</f>
        <v>0</v>
      </c>
      <c r="H35" s="901">
        <f>IFERROR(SUMIF('Vehicle-Fuel'!$A$13:$A$60,"="&amp;A35,'Vehicle-Fuel'!$S$13:$S$60),"")</f>
        <v>0</v>
      </c>
      <c r="I35" s="901">
        <f>IFERROR(SUMIF('Vehicle-Distance'!$A$14:$A$61,"="&amp;A35,'Vehicle-Distance'!$L$14:$L$61),"")</f>
        <v>0</v>
      </c>
      <c r="J35" s="901">
        <f>IFERROR(SUMIF('Travel-Other vehicles'!$A$12:$A$59,"="&amp;A35,'Travel-Other vehicles'!$K$12:$K$59),"")</f>
        <v>0</v>
      </c>
      <c r="K35" s="901">
        <f>IFERROR(SUMIF('Anaesthetic gases'!$A$11:$A$54,"="&amp;A35,'Anaesthetic gases'!$P$11:$P$54),"")</f>
        <v>0</v>
      </c>
      <c r="L35" s="900">
        <f>IFERROR(SUMIF('Refrigerant gases'!$A$12:$A$55,"="&amp;A35,'Refrigerant gases'!$P$12:$P$55),"")</f>
        <v>0</v>
      </c>
      <c r="M35" s="892" t="s">
        <v>200</v>
      </c>
      <c r="N35" s="901">
        <f>IFERROR(SUMIF(Waste!$A$17:$A$108,"="&amp;A35,Waste!$N$17:$N$108),"")</f>
        <v>0</v>
      </c>
      <c r="O35" s="903">
        <f>IFERROR(SUMIF(Inhalers!$A$13:$A$106,"="&amp;A35,Inhalers!$M$13:$M$106)+SUMIF(Inhalers!$A$13:$A$106,"="&amp;A35,Inhalers!$N$13:$N$106),"")</f>
        <v>0</v>
      </c>
      <c r="P35" s="905">
        <f t="shared" si="0"/>
        <v>0</v>
      </c>
    </row>
    <row r="36" spans="1:25" x14ac:dyDescent="0.35">
      <c r="A36" s="1247">
        <f>Buildings!B35</f>
        <v>0</v>
      </c>
      <c r="B36" s="901">
        <f>IFERROR(SUMIF(Energy!$B$16:$B$46,"="&amp;A36,Energy!$O$16:$O$46),"")</f>
        <v>0</v>
      </c>
      <c r="C36" s="901">
        <f>IFERROR(SUMIF(Energy!$B$81:$B$110,"="&amp;A36,Energy!$O$81:$O$110),"")</f>
        <v>0</v>
      </c>
      <c r="D36" s="901">
        <f>IFERROR(SUMIF(Energy!$B$113:$B$142,"="&amp;A36,Energy!$O$113:$O$142),"")</f>
        <v>0</v>
      </c>
      <c r="E36" s="901">
        <f>IFERROR(SUMIF(Energy!$B$145:$B$174,"=" &amp;A36,Energy!$O$145:$O$174),"")</f>
        <v>0</v>
      </c>
      <c r="F36" s="901">
        <f>IFERROR(SUMIF(Energy!$B$177:$B$226,"=" &amp;'Building Totals &amp; Benchmarking'!A36,Energy!$O$177:$O$226),"")</f>
        <v>0</v>
      </c>
      <c r="G36" s="901">
        <f>IFERROR(SUMIF(Energy!$B$229:$B$258,"=" &amp;'Building Totals &amp; Benchmarking'!A36,Energy!$O$229:$O$258),"")</f>
        <v>0</v>
      </c>
      <c r="H36" s="901">
        <f>IFERROR(SUMIF('Vehicle-Fuel'!$A$13:$A$60,"="&amp;A36,'Vehicle-Fuel'!$S$13:$S$60),"")</f>
        <v>0</v>
      </c>
      <c r="I36" s="901">
        <f>IFERROR(SUMIF('Vehicle-Distance'!$A$14:$A$61,"="&amp;A36,'Vehicle-Distance'!$L$14:$L$61),"")</f>
        <v>0</v>
      </c>
      <c r="J36" s="901">
        <f>IFERROR(SUMIF('Travel-Other vehicles'!$A$12:$A$59,"="&amp;A36,'Travel-Other vehicles'!$K$12:$K$59),"")</f>
        <v>0</v>
      </c>
      <c r="K36" s="901">
        <f>IFERROR(SUMIF('Anaesthetic gases'!$A$11:$A$54,"="&amp;A36,'Anaesthetic gases'!$P$11:$P$54),"")</f>
        <v>0</v>
      </c>
      <c r="L36" s="900">
        <f>IFERROR(SUMIF('Refrigerant gases'!$A$12:$A$55,"="&amp;A36,'Refrigerant gases'!$P$12:$P$55),"")</f>
        <v>0</v>
      </c>
      <c r="M36" s="892" t="s">
        <v>200</v>
      </c>
      <c r="N36" s="901">
        <f>IFERROR(SUMIF(Waste!$A$17:$A$108,"="&amp;A36,Waste!$N$17:$N$108),"")</f>
        <v>0</v>
      </c>
      <c r="O36" s="903">
        <f>IFERROR(SUMIF(Inhalers!$A$13:$A$106,"="&amp;A36,Inhalers!$M$13:$M$106)+SUMIF(Inhalers!$A$13:$A$106,"="&amp;A36,Inhalers!$N$13:$N$106),"")</f>
        <v>0</v>
      </c>
      <c r="P36" s="905">
        <f t="shared" si="0"/>
        <v>0</v>
      </c>
    </row>
    <row r="37" spans="1:25" x14ac:dyDescent="0.35">
      <c r="A37" s="1247">
        <f>Buildings!B36</f>
        <v>0</v>
      </c>
      <c r="B37" s="901">
        <f>IFERROR(SUMIF(Energy!$B$16:$B$46,"="&amp;A37,Energy!$O$16:$O$46),"")</f>
        <v>0</v>
      </c>
      <c r="C37" s="901">
        <f>IFERROR(SUMIF(Energy!$B$81:$B$110,"="&amp;A37,Energy!$O$81:$O$110),"")</f>
        <v>0</v>
      </c>
      <c r="D37" s="901">
        <f>IFERROR(SUMIF(Energy!$B$113:$B$142,"="&amp;A37,Energy!$O$113:$O$142),"")</f>
        <v>0</v>
      </c>
      <c r="E37" s="901">
        <f>IFERROR(SUMIF(Energy!$B$145:$B$174,"=" &amp;A37,Energy!$O$145:$O$174),"")</f>
        <v>0</v>
      </c>
      <c r="F37" s="901">
        <f>IFERROR(SUMIF(Energy!$B$177:$B$226,"=" &amp;'Building Totals &amp; Benchmarking'!A37,Energy!$O$177:$O$226),"")</f>
        <v>0</v>
      </c>
      <c r="G37" s="901">
        <f>IFERROR(SUMIF(Energy!$B$229:$B$258,"=" &amp;'Building Totals &amp; Benchmarking'!A37,Energy!$O$229:$O$258),"")</f>
        <v>0</v>
      </c>
      <c r="H37" s="901">
        <f>IFERROR(SUMIF('Vehicle-Fuel'!$A$13:$A$60,"="&amp;A37,'Vehicle-Fuel'!$S$13:$S$60),"")</f>
        <v>0</v>
      </c>
      <c r="I37" s="901">
        <f>IFERROR(SUMIF('Vehicle-Distance'!$A$14:$A$61,"="&amp;A37,'Vehicle-Distance'!$L$14:$L$61),"")</f>
        <v>0</v>
      </c>
      <c r="J37" s="901">
        <f>IFERROR(SUMIF('Travel-Other vehicles'!$A$12:$A$59,"="&amp;A37,'Travel-Other vehicles'!$K$12:$K$59),"")</f>
        <v>0</v>
      </c>
      <c r="K37" s="901">
        <f>IFERROR(SUMIF('Anaesthetic gases'!$A$11:$A$54,"="&amp;A37,'Anaesthetic gases'!$P$11:$P$54),"")</f>
        <v>0</v>
      </c>
      <c r="L37" s="900">
        <f>IFERROR(SUMIF('Refrigerant gases'!$A$12:$A$55,"="&amp;A37,'Refrigerant gases'!$P$12:$P$55),"")</f>
        <v>0</v>
      </c>
      <c r="M37" s="892" t="s">
        <v>200</v>
      </c>
      <c r="N37" s="901">
        <f>IFERROR(SUMIF(Waste!$A$17:$A$108,"="&amp;A37,Waste!$N$17:$N$108),"")</f>
        <v>0</v>
      </c>
      <c r="O37" s="903">
        <f>IFERROR(SUMIF(Inhalers!$A$13:$A$106,"="&amp;A37,Inhalers!$M$13:$M$106)+SUMIF(Inhalers!$A$13:$A$106,"="&amp;A37,Inhalers!$N$13:$N$106),"")</f>
        <v>0</v>
      </c>
      <c r="P37" s="905">
        <f t="shared" si="0"/>
        <v>0</v>
      </c>
    </row>
    <row r="38" spans="1:25" x14ac:dyDescent="0.35">
      <c r="A38" s="1247">
        <f>Buildings!B37</f>
        <v>0</v>
      </c>
      <c r="B38" s="901">
        <f>IFERROR(SUMIF(Energy!$B$16:$B$46,"="&amp;A38,Energy!$O$16:$O$46),"")</f>
        <v>0</v>
      </c>
      <c r="C38" s="901">
        <f>IFERROR(SUMIF(Energy!$B$81:$B$110,"="&amp;A38,Energy!$O$81:$O$110),"")</f>
        <v>0</v>
      </c>
      <c r="D38" s="901">
        <f>IFERROR(SUMIF(Energy!$B$113:$B$142,"="&amp;A38,Energy!$O$113:$O$142),"")</f>
        <v>0</v>
      </c>
      <c r="E38" s="901">
        <f>IFERROR(SUMIF(Energy!$B$145:$B$174,"=" &amp;A38,Energy!$O$145:$O$174),"")</f>
        <v>0</v>
      </c>
      <c r="F38" s="901">
        <f>IFERROR(SUMIF(Energy!$B$177:$B$226,"=" &amp;'Building Totals &amp; Benchmarking'!A38,Energy!$O$177:$O$226),"")</f>
        <v>0</v>
      </c>
      <c r="G38" s="901">
        <f>IFERROR(SUMIF(Energy!$B$229:$B$258,"=" &amp;'Building Totals &amp; Benchmarking'!A38,Energy!$O$229:$O$258),"")</f>
        <v>0</v>
      </c>
      <c r="H38" s="901">
        <f>IFERROR(SUMIF('Vehicle-Fuel'!$A$13:$A$60,"="&amp;A38,'Vehicle-Fuel'!$S$13:$S$60),"")</f>
        <v>0</v>
      </c>
      <c r="I38" s="901">
        <f>IFERROR(SUMIF('Vehicle-Distance'!$A$14:$A$61,"="&amp;A38,'Vehicle-Distance'!$L$14:$L$61),"")</f>
        <v>0</v>
      </c>
      <c r="J38" s="901">
        <f>IFERROR(SUMIF('Travel-Other vehicles'!$A$12:$A$59,"="&amp;A38,'Travel-Other vehicles'!$K$12:$K$59),"")</f>
        <v>0</v>
      </c>
      <c r="K38" s="901">
        <f>IFERROR(SUMIF('Anaesthetic gases'!$A$11:$A$54,"="&amp;A38,'Anaesthetic gases'!$P$11:$P$54),"")</f>
        <v>0</v>
      </c>
      <c r="L38" s="900">
        <f>IFERROR(SUMIF('Refrigerant gases'!$A$12:$A$55,"="&amp;A38,'Refrigerant gases'!$P$12:$P$55),"")</f>
        <v>0</v>
      </c>
      <c r="M38" s="892" t="s">
        <v>200</v>
      </c>
      <c r="N38" s="901">
        <f>IFERROR(SUMIF(Waste!$A$17:$A$108,"="&amp;A38,Waste!$N$17:$N$108),"")</f>
        <v>0</v>
      </c>
      <c r="O38" s="903">
        <f>IFERROR(SUMIF(Inhalers!$A$13:$A$106,"="&amp;A38,Inhalers!$M$13:$M$106)+SUMIF(Inhalers!$A$13:$A$106,"="&amp;A38,Inhalers!$N$13:$N$106),"")</f>
        <v>0</v>
      </c>
      <c r="P38" s="905">
        <f t="shared" si="0"/>
        <v>0</v>
      </c>
    </row>
    <row r="39" spans="1:25" x14ac:dyDescent="0.35">
      <c r="A39" s="1247">
        <f>Buildings!B38</f>
        <v>0</v>
      </c>
      <c r="B39" s="901">
        <f>IFERROR(SUMIF(Energy!$B$16:$B$46,"="&amp;A39,Energy!$O$16:$O$46),"")</f>
        <v>0</v>
      </c>
      <c r="C39" s="901">
        <f>IFERROR(SUMIF(Energy!$B$81:$B$110,"="&amp;A39,Energy!$O$81:$O$110),"")</f>
        <v>0</v>
      </c>
      <c r="D39" s="901">
        <f>IFERROR(SUMIF(Energy!$B$113:$B$142,"="&amp;A39,Energy!$O$113:$O$142),"")</f>
        <v>0</v>
      </c>
      <c r="E39" s="901">
        <f>IFERROR(SUMIF(Energy!$B$145:$B$174,"=" &amp;A39,Energy!$O$145:$O$174),"")</f>
        <v>0</v>
      </c>
      <c r="F39" s="901">
        <f>IFERROR(SUMIF(Energy!$B$177:$B$226,"=" &amp;'Building Totals &amp; Benchmarking'!A39,Energy!$O$177:$O$226),"")</f>
        <v>0</v>
      </c>
      <c r="G39" s="901">
        <f>IFERROR(SUMIF(Energy!$B$229:$B$258,"=" &amp;'Building Totals &amp; Benchmarking'!A39,Energy!$O$229:$O$258),"")</f>
        <v>0</v>
      </c>
      <c r="H39" s="901">
        <f>IFERROR(SUMIF('Vehicle-Fuel'!$A$13:$A$60,"="&amp;A39,'Vehicle-Fuel'!$S$13:$S$60),"")</f>
        <v>0</v>
      </c>
      <c r="I39" s="901">
        <f>IFERROR(SUMIF('Vehicle-Distance'!$A$14:$A$61,"="&amp;A39,'Vehicle-Distance'!$L$14:$L$61),"")</f>
        <v>0</v>
      </c>
      <c r="J39" s="901">
        <f>IFERROR(SUMIF('Travel-Other vehicles'!$A$12:$A$59,"="&amp;A39,'Travel-Other vehicles'!$K$12:$K$59),"")</f>
        <v>0</v>
      </c>
      <c r="K39" s="901">
        <f>IFERROR(SUMIF('Anaesthetic gases'!$A$11:$A$54,"="&amp;A39,'Anaesthetic gases'!$P$11:$P$54),"")</f>
        <v>0</v>
      </c>
      <c r="L39" s="900">
        <f>IFERROR(SUMIF('Refrigerant gases'!$A$12:$A$55,"="&amp;A39,'Refrigerant gases'!$P$12:$P$55),"")</f>
        <v>0</v>
      </c>
      <c r="M39" s="892" t="s">
        <v>200</v>
      </c>
      <c r="N39" s="901">
        <f>IFERROR(SUMIF(Waste!$A$17:$A$108,"="&amp;A39,Waste!$N$17:$N$108),"")</f>
        <v>0</v>
      </c>
      <c r="O39" s="903">
        <f>IFERROR(SUMIF(Inhalers!$A$13:$A$106,"="&amp;A39,Inhalers!$M$13:$M$106)+SUMIF(Inhalers!$A$13:$A$106,"="&amp;A39,Inhalers!$N$13:$N$106),"")</f>
        <v>0</v>
      </c>
      <c r="P39" s="905">
        <f t="shared" si="0"/>
        <v>0</v>
      </c>
    </row>
    <row r="40" spans="1:25" x14ac:dyDescent="0.35">
      <c r="A40" s="1247">
        <f>Buildings!B39</f>
        <v>0</v>
      </c>
      <c r="B40" s="901">
        <f>IFERROR(SUMIF(Energy!$B$16:$B$46,"="&amp;A40,Energy!$O$16:$O$46),"")</f>
        <v>0</v>
      </c>
      <c r="C40" s="901">
        <f>IFERROR(SUMIF(Energy!$B$81:$B$110,"="&amp;A40,Energy!$O$81:$O$110),"")</f>
        <v>0</v>
      </c>
      <c r="D40" s="901">
        <f>IFERROR(SUMIF(Energy!$B$113:$B$142,"="&amp;A40,Energy!$O$113:$O$142),"")</f>
        <v>0</v>
      </c>
      <c r="E40" s="901">
        <f>IFERROR(SUMIF(Energy!$B$145:$B$174,"=" &amp;A40,Energy!$O$145:$O$174),"")</f>
        <v>0</v>
      </c>
      <c r="F40" s="901">
        <f>IFERROR(SUMIF(Energy!$B$177:$B$226,"=" &amp;'Building Totals &amp; Benchmarking'!A40,Energy!$O$177:$O$226),"")</f>
        <v>0</v>
      </c>
      <c r="G40" s="901">
        <f>IFERROR(SUMIF(Energy!$B$229:$B$258,"=" &amp;'Building Totals &amp; Benchmarking'!A40,Energy!$O$229:$O$258),"")</f>
        <v>0</v>
      </c>
      <c r="H40" s="901">
        <f>IFERROR(SUMIF('Vehicle-Fuel'!$A$13:$A$60,"="&amp;A40,'Vehicle-Fuel'!$S$13:$S$60),"")</f>
        <v>0</v>
      </c>
      <c r="I40" s="901">
        <f>IFERROR(SUMIF('Vehicle-Distance'!$A$14:$A$61,"="&amp;A40,'Vehicle-Distance'!$L$14:$L$61),"")</f>
        <v>0</v>
      </c>
      <c r="J40" s="901">
        <f>IFERROR(SUMIF('Travel-Other vehicles'!$A$12:$A$59,"="&amp;A40,'Travel-Other vehicles'!$K$12:$K$59),"")</f>
        <v>0</v>
      </c>
      <c r="K40" s="901">
        <f>IFERROR(SUMIF('Anaesthetic gases'!$A$11:$A$54,"="&amp;A40,'Anaesthetic gases'!$P$11:$P$54),"")</f>
        <v>0</v>
      </c>
      <c r="L40" s="900">
        <f>IFERROR(SUMIF('Refrigerant gases'!$A$12:$A$55,"="&amp;A40,'Refrigerant gases'!$P$12:$P$55),"")</f>
        <v>0</v>
      </c>
      <c r="M40" s="892" t="s">
        <v>200</v>
      </c>
      <c r="N40" s="901">
        <f>IFERROR(SUMIF(Waste!$A$17:$A$108,"="&amp;A40,Waste!$N$17:$N$108),"")</f>
        <v>0</v>
      </c>
      <c r="O40" s="903">
        <f>IFERROR(SUMIF(Inhalers!$A$13:$A$106,"="&amp;A40,Inhalers!$M$13:$M$106)+SUMIF(Inhalers!$A$13:$A$106,"="&amp;A40,Inhalers!$N$13:$N$106),"")</f>
        <v>0</v>
      </c>
      <c r="P40" s="905">
        <f t="shared" si="0"/>
        <v>0</v>
      </c>
    </row>
    <row r="41" spans="1:25" x14ac:dyDescent="0.35">
      <c r="A41" s="1247">
        <f>Buildings!B40</f>
        <v>0</v>
      </c>
      <c r="B41" s="901">
        <f>IFERROR(SUMIF(Energy!$B$16:$B$46,"="&amp;A41,Energy!$O$16:$O$46),"")</f>
        <v>0</v>
      </c>
      <c r="C41" s="901">
        <f>IFERROR(SUMIF(Energy!$B$81:$B$110,"="&amp;A41,Energy!$O$81:$O$110),"")</f>
        <v>0</v>
      </c>
      <c r="D41" s="901">
        <f>IFERROR(SUMIF(Energy!$B$113:$B$142,"="&amp;A41,Energy!$O$113:$O$142),"")</f>
        <v>0</v>
      </c>
      <c r="E41" s="901">
        <f>IFERROR(SUMIF(Energy!$B$145:$B$174,"=" &amp;A41,Energy!$O$145:$O$174),"")</f>
        <v>0</v>
      </c>
      <c r="F41" s="901">
        <f>IFERROR(SUMIF(Energy!$B$177:$B$226,"=" &amp;'Building Totals &amp; Benchmarking'!A41,Energy!$O$177:$O$226),"")</f>
        <v>0</v>
      </c>
      <c r="G41" s="901">
        <f>IFERROR(SUMIF(Energy!$B$229:$B$258,"=" &amp;'Building Totals &amp; Benchmarking'!A41,Energy!$O$229:$O$258),"")</f>
        <v>0</v>
      </c>
      <c r="H41" s="901">
        <f>IFERROR(SUMIF('Vehicle-Fuel'!$A$13:$A$60,"="&amp;A41,'Vehicle-Fuel'!$S$13:$S$60),"")</f>
        <v>0</v>
      </c>
      <c r="I41" s="901">
        <f>IFERROR(SUMIF('Vehicle-Distance'!$A$14:$A$61,"="&amp;A41,'Vehicle-Distance'!$L$14:$L$61),"")</f>
        <v>0</v>
      </c>
      <c r="J41" s="901">
        <f>IFERROR(SUMIF('Travel-Other vehicles'!$A$12:$A$59,"="&amp;A41,'Travel-Other vehicles'!$K$12:$K$59),"")</f>
        <v>0</v>
      </c>
      <c r="K41" s="901">
        <f>IFERROR(SUMIF('Anaesthetic gases'!$A$11:$A$54,"="&amp;A41,'Anaesthetic gases'!$P$11:$P$54),"")</f>
        <v>0</v>
      </c>
      <c r="L41" s="900">
        <f>IFERROR(SUMIF('Refrigerant gases'!$A$12:$A$55,"="&amp;A41,'Refrigerant gases'!$P$12:$P$55),"")</f>
        <v>0</v>
      </c>
      <c r="M41" s="892" t="s">
        <v>200</v>
      </c>
      <c r="N41" s="901">
        <f>IFERROR(SUMIF(Waste!$A$17:$A$108,"="&amp;A41,Waste!$N$17:$N$108),"")</f>
        <v>0</v>
      </c>
      <c r="O41" s="903">
        <f>IFERROR(SUMIF(Inhalers!$A$13:$A$106,"="&amp;A41,Inhalers!$M$13:$M$106)+SUMIF(Inhalers!$A$13:$A$106,"="&amp;A41,Inhalers!$N$13:$N$106),"")</f>
        <v>0</v>
      </c>
      <c r="P41" s="905">
        <f t="shared" si="0"/>
        <v>0</v>
      </c>
    </row>
    <row r="42" spans="1:25" ht="15" thickBot="1" x14ac:dyDescent="0.4">
      <c r="A42" s="1247">
        <f>Buildings!B41</f>
        <v>0</v>
      </c>
      <c r="B42" s="901">
        <f>IFERROR(SUMIF(Energy!$B$16:$B$46,"="&amp;A42,Energy!$O$16:$O$46),"")</f>
        <v>0</v>
      </c>
      <c r="C42" s="901">
        <f>IFERROR(SUMIF(Energy!$B$81:$B$110,"="&amp;A42,Energy!$O$81:$O$110),"")</f>
        <v>0</v>
      </c>
      <c r="D42" s="901">
        <f>IFERROR(SUMIF(Energy!$B$113:$B$142,"="&amp;A42,Energy!$O$113:$O$142),"")</f>
        <v>0</v>
      </c>
      <c r="E42" s="901">
        <f>IFERROR(SUMIF(Energy!$B$145:$B$174,"=" &amp;A42,Energy!$O$145:$O$174),"")</f>
        <v>0</v>
      </c>
      <c r="F42" s="901">
        <f>IFERROR(SUMIF(Energy!$B$177:$B$226,"=" &amp;'Building Totals &amp; Benchmarking'!A42,Energy!$O$177:$O$226),"")</f>
        <v>0</v>
      </c>
      <c r="G42" s="901">
        <f>IFERROR(SUMIF(Energy!$B$229:$B$258,"=" &amp;'Building Totals &amp; Benchmarking'!A42,Energy!$O$229:$O$258),"")</f>
        <v>0</v>
      </c>
      <c r="H42" s="901">
        <f>IFERROR(SUMIF('Vehicle-Fuel'!$A$13:$A$60,"="&amp;A42,'Vehicle-Fuel'!$S$13:$S$60),"")</f>
        <v>0</v>
      </c>
      <c r="I42" s="901">
        <f>IFERROR(SUMIF('Vehicle-Distance'!$A$14:$A$61,"="&amp;A42,'Vehicle-Distance'!$L$14:$L$61),"")</f>
        <v>0</v>
      </c>
      <c r="J42" s="901">
        <f>IFERROR(SUMIF('Travel-Other vehicles'!$A$12:$A$59,"="&amp;A42,'Travel-Other vehicles'!$K$12:$K$59),"")</f>
        <v>0</v>
      </c>
      <c r="K42" s="901">
        <f>IFERROR(SUMIF('Anaesthetic gases'!$A$11:$A$54,"="&amp;A42,'Anaesthetic gases'!$P$11:$P$54),"")</f>
        <v>0</v>
      </c>
      <c r="L42" s="900">
        <f>IFERROR(SUMIF('Refrigerant gases'!$A$12:$A$55,"="&amp;A42,'Refrigerant gases'!$P$12:$P$55),"")</f>
        <v>0</v>
      </c>
      <c r="M42" s="892" t="s">
        <v>200</v>
      </c>
      <c r="N42" s="901">
        <f>IFERROR(SUMIF(Waste!$A$17:$A$108,"="&amp;A42,Waste!$N$17:$N$108),"")</f>
        <v>0</v>
      </c>
      <c r="O42" s="903">
        <f>IFERROR(SUMIF(Inhalers!$A$13:$A$106,"="&amp;A42,Inhalers!$M$13:$M$106)+SUMIF(Inhalers!$A$13:$A$106,"="&amp;A42,Inhalers!$N$13:$N$106),"")</f>
        <v>0</v>
      </c>
      <c r="P42" s="905">
        <f t="shared" si="0"/>
        <v>0</v>
      </c>
    </row>
    <row r="43" spans="1:25" ht="15" thickBot="1" x14ac:dyDescent="0.4">
      <c r="A43" s="1248" t="s">
        <v>261</v>
      </c>
      <c r="B43" s="907">
        <f>SUM(B10:B42)</f>
        <v>0</v>
      </c>
      <c r="C43" s="908">
        <f t="shared" ref="C43:P43" si="1">SUM(C10:C42)</f>
        <v>0</v>
      </c>
      <c r="D43" s="908">
        <f t="shared" si="1"/>
        <v>0</v>
      </c>
      <c r="E43" s="908">
        <f t="shared" si="1"/>
        <v>0</v>
      </c>
      <c r="F43" s="908">
        <f t="shared" si="1"/>
        <v>1103.104</v>
      </c>
      <c r="G43" s="908">
        <f t="shared" si="1"/>
        <v>0</v>
      </c>
      <c r="H43" s="908">
        <f t="shared" si="1"/>
        <v>925.86800000000005</v>
      </c>
      <c r="I43" s="908">
        <f t="shared" si="1"/>
        <v>0</v>
      </c>
      <c r="J43" s="908">
        <f t="shared" si="1"/>
        <v>0</v>
      </c>
      <c r="K43" s="908">
        <f t="shared" si="1"/>
        <v>0</v>
      </c>
      <c r="L43" s="908">
        <f t="shared" si="1"/>
        <v>1380</v>
      </c>
      <c r="M43" s="908">
        <f t="shared" si="1"/>
        <v>0</v>
      </c>
      <c r="N43" s="908">
        <f t="shared" si="1"/>
        <v>0</v>
      </c>
      <c r="O43" s="908">
        <f t="shared" si="1"/>
        <v>0</v>
      </c>
      <c r="P43" s="906">
        <f t="shared" si="1"/>
        <v>3408.9720000000002</v>
      </c>
    </row>
    <row r="44" spans="1:25" ht="15" thickBot="1" x14ac:dyDescent="0.4">
      <c r="P44" s="1194"/>
    </row>
    <row r="45" spans="1:25" ht="15" thickBot="1" x14ac:dyDescent="0.4">
      <c r="B45" s="1718" t="s">
        <v>262</v>
      </c>
      <c r="C45" s="1719"/>
      <c r="D45" s="1719"/>
      <c r="E45" s="1719"/>
      <c r="F45" s="1719"/>
      <c r="G45" s="1719"/>
      <c r="H45" s="1719"/>
      <c r="I45" s="1719"/>
      <c r="J45" s="1719"/>
      <c r="K45" s="1719"/>
      <c r="L45" s="1719"/>
      <c r="M45" s="1719"/>
      <c r="N45" s="1719"/>
      <c r="O45" s="1719"/>
      <c r="P45" s="1720"/>
      <c r="R45" s="847"/>
      <c r="S45" s="847"/>
      <c r="T45" s="847"/>
      <c r="U45" s="847"/>
      <c r="V45" s="847"/>
      <c r="W45" s="847"/>
      <c r="X45" s="847"/>
      <c r="Y45" s="847"/>
    </row>
    <row r="46" spans="1:25" ht="69.75" customHeight="1" thickBot="1" x14ac:dyDescent="0.4">
      <c r="A46" s="854" t="s">
        <v>246</v>
      </c>
      <c r="B46" s="855" t="s">
        <v>247</v>
      </c>
      <c r="C46" s="855" t="s">
        <v>248</v>
      </c>
      <c r="D46" s="855" t="s">
        <v>249</v>
      </c>
      <c r="E46" s="855" t="s">
        <v>250</v>
      </c>
      <c r="F46" s="855" t="s">
        <v>251</v>
      </c>
      <c r="G46" s="855" t="s">
        <v>252</v>
      </c>
      <c r="H46" s="855" t="s">
        <v>253</v>
      </c>
      <c r="I46" s="855" t="s">
        <v>263</v>
      </c>
      <c r="J46" s="855" t="s">
        <v>264</v>
      </c>
      <c r="K46" s="855" t="s">
        <v>256</v>
      </c>
      <c r="L46" s="855" t="s">
        <v>257</v>
      </c>
      <c r="M46" s="855" t="s">
        <v>265</v>
      </c>
      <c r="N46" s="855" t="s">
        <v>259</v>
      </c>
      <c r="O46" s="859" t="s">
        <v>266</v>
      </c>
      <c r="P46" s="828" t="s">
        <v>267</v>
      </c>
      <c r="Q46" s="4"/>
      <c r="R46" s="807"/>
      <c r="S46" s="807"/>
      <c r="T46" s="807"/>
      <c r="U46" s="807"/>
      <c r="V46" s="807"/>
      <c r="W46" s="807"/>
      <c r="X46" s="807"/>
      <c r="Y46" s="807"/>
    </row>
    <row r="47" spans="1:25" x14ac:dyDescent="0.35">
      <c r="A47" s="1247" t="str">
        <f>Buildings!B9</f>
        <v>Several sites</v>
      </c>
      <c r="B47" s="900">
        <f>IFERROR(SUMIF(Energy!$B$16:$B$46,"="&amp;A47,Energy!$R$16:$R$46),"")</f>
        <v>0</v>
      </c>
      <c r="C47" s="900">
        <f>IFERROR(SUMIF(Energy!$B$81:$B$110,"="&amp;A47,Energy!$R$81:$R$110),"")</f>
        <v>0</v>
      </c>
      <c r="D47" s="900">
        <f>IFERROR(SUMIF(Energy!$B$113:$B$142,"="&amp;A47,Energy!$R$113:$R$142),"")</f>
        <v>0</v>
      </c>
      <c r="E47" s="900">
        <f>IFERROR(SUMIF(Energy!$B$145:$B$174,"=" &amp;A47,Energy!$R$145:$R$174),"")</f>
        <v>0</v>
      </c>
      <c r="F47" s="900">
        <f>IFERROR(SUMIF(Energy!$B$177:$B$226,"=" &amp;'Building Totals &amp; Benchmarking'!A47,Energy!$R$177:$R$226),"")</f>
        <v>0</v>
      </c>
      <c r="G47" s="900">
        <f>IFERROR(SUMIF(Energy!$B$229:$B$258,"=" &amp;'Building Totals &amp; Benchmarking'!A47,Energy!$R$229:$R$258),"")</f>
        <v>0</v>
      </c>
      <c r="H47" s="900">
        <f>IFERROR(SUMIF('Vehicle-Fuel'!$A$13:$A$60,"="&amp;A47,'Vehicle-Fuel'!$U$13:$U$60),"")</f>
        <v>0</v>
      </c>
      <c r="I47" s="874" t="s">
        <v>200</v>
      </c>
      <c r="J47" s="874" t="s">
        <v>200</v>
      </c>
      <c r="K47" s="900">
        <f>IFERROR(SUMIF('Anaesthetic gases'!$A$11:$A$54,"="&amp;A47,'Anaesthetic gases'!$R$11:$R$54),"")</f>
        <v>0</v>
      </c>
      <c r="L47" s="900">
        <f ca="1">IFERROR(SUMIF('Refrigerant gases'!$A$12:AA$55,"="&amp;A47,'Refrigerant gases'!$T$12:$T$55),"")</f>
        <v>0</v>
      </c>
      <c r="M47" s="900">
        <f>IFERROR(SUMIF('Water '!$A$14:$A$57,"="&amp;A47,'Water '!$Q$14:$Q$57),"")</f>
        <v>0</v>
      </c>
      <c r="N47" s="900">
        <f>IFERROR(SUMIF(Waste!$A$17:$A$108,"="&amp;A47,Waste!$P$17:$P$108),"")</f>
        <v>0</v>
      </c>
      <c r="O47" s="873" t="s">
        <v>200</v>
      </c>
      <c r="P47" s="904">
        <f t="shared" ref="P47:P79" ca="1" si="2">SUM(B47:O47)</f>
        <v>0</v>
      </c>
      <c r="R47" s="711"/>
      <c r="S47" s="711"/>
      <c r="T47" s="711"/>
      <c r="U47" s="711"/>
      <c r="V47" s="711"/>
      <c r="W47" s="711"/>
      <c r="X47" s="711"/>
      <c r="Y47" s="711"/>
    </row>
    <row r="48" spans="1:25" x14ac:dyDescent="0.35">
      <c r="A48" s="1247" t="str">
        <f>Buildings!B10</f>
        <v>Across all sites</v>
      </c>
      <c r="B48" s="900">
        <f>IFERROR(SUMIF(Energy!$B$16:$B$46,"="&amp;A48,Energy!$R$16:$R$46),"")</f>
        <v>0</v>
      </c>
      <c r="C48" s="901">
        <f>IFERROR(SUMIF(Energy!$B$81:$B$110,"="&amp;A48,Energy!$R$81:$R$110),"")</f>
        <v>0</v>
      </c>
      <c r="D48" s="901">
        <f>IFERROR(SUMIF(Energy!$B$113:$B$142,"="&amp;A48,Energy!$R$113:$R$142),"")</f>
        <v>0</v>
      </c>
      <c r="E48" s="901">
        <f>IFERROR(SUMIF(Energy!$B$145:$B$174,"=" &amp;A48,Energy!$R$145:$R$174),"")</f>
        <v>0</v>
      </c>
      <c r="F48" s="901">
        <f>IFERROR(SUMIF(Energy!$B$177:$B$226,"=" &amp;'Building Totals &amp; Benchmarking'!A48,Energy!$R$177:$R$226),"")</f>
        <v>0</v>
      </c>
      <c r="G48" s="901">
        <f>IFERROR(SUMIF(Energy!$B$229:$B$258,"=" &amp;'Building Totals &amp; Benchmarking'!A48,Energy!$R$229:$R$258),"")</f>
        <v>0</v>
      </c>
      <c r="H48" s="901">
        <f>IFERROR(SUMIF('Vehicle-Fuel'!$A$13:$A$60,"="&amp;A48,'Vehicle-Fuel'!$U$13:$U$60),"")</f>
        <v>0</v>
      </c>
      <c r="I48" s="874" t="s">
        <v>200</v>
      </c>
      <c r="J48" s="874" t="s">
        <v>200</v>
      </c>
      <c r="K48" s="901">
        <f>IFERROR(SUMIF('Anaesthetic gases'!$A$11:$A$54,"="&amp;A48,'Anaesthetic gases'!$R$11:$R$54),"")</f>
        <v>0</v>
      </c>
      <c r="L48" s="900">
        <f ca="1">IFERROR(SUMIF('Refrigerant gases'!$A$12:AA$55,"="&amp;A48,'Refrigerant gases'!$T$12:$T$55),"")</f>
        <v>0</v>
      </c>
      <c r="M48" s="900">
        <f>IFERROR(SUMIF('Water '!$A$14:$A$57,"="&amp;A48,'Water '!$Q$14:$Q$57),"")</f>
        <v>0</v>
      </c>
      <c r="N48" s="900">
        <f>IFERROR(SUMIF(Waste!$A$17:$A$108,"="&amp;A48,Waste!$P$17:$P$108),"")</f>
        <v>0</v>
      </c>
      <c r="O48" s="873" t="s">
        <v>200</v>
      </c>
      <c r="P48" s="905">
        <f t="shared" ca="1" si="2"/>
        <v>0</v>
      </c>
      <c r="R48" s="711"/>
      <c r="S48" s="711"/>
      <c r="T48" s="711"/>
      <c r="U48" s="711"/>
      <c r="V48" s="711"/>
      <c r="W48" s="711"/>
      <c r="X48" s="711"/>
      <c r="Y48" s="711"/>
    </row>
    <row r="49" spans="1:25" x14ac:dyDescent="0.35">
      <c r="A49" s="1247" t="str">
        <f>Buildings!B11</f>
        <v>Not linked to a site</v>
      </c>
      <c r="B49" s="900">
        <f>IFERROR(SUMIF(Energy!$B$16:$B$46,"="&amp;A49,Energy!$R$16:$R$46),"")</f>
        <v>0</v>
      </c>
      <c r="C49" s="901">
        <f>IFERROR(SUMIF(Energy!$B$81:$B$110,"="&amp;A49,Energy!$R$81:$R$110),"")</f>
        <v>0</v>
      </c>
      <c r="D49" s="901">
        <f>IFERROR(SUMIF(Energy!$B$113:$B$142,"="&amp;A49,Energy!$R$113:$R$142),"")</f>
        <v>0</v>
      </c>
      <c r="E49" s="901">
        <f>IFERROR(SUMIF(Energy!$B$145:$B$174,"=" &amp;A49,Energy!$R$145:$R$174),"")</f>
        <v>0</v>
      </c>
      <c r="F49" s="901">
        <f>IFERROR(SUMIF(Energy!$B$177:$B$226,"=" &amp;'Building Totals &amp; Benchmarking'!A49,Energy!$R$177:$R$226),"")</f>
        <v>0</v>
      </c>
      <c r="G49" s="901">
        <f>IFERROR(SUMIF(Energy!$B$229:$B$258,"=" &amp;'Building Totals &amp; Benchmarking'!A49,Energy!$R$229:$R$258),"")</f>
        <v>0</v>
      </c>
      <c r="H49" s="901">
        <f>IFERROR(SUMIF('Vehicle-Fuel'!$A$13:$A$60,"="&amp;A49,'Vehicle-Fuel'!$U$13:$U$60),"")</f>
        <v>0</v>
      </c>
      <c r="I49" s="874" t="s">
        <v>200</v>
      </c>
      <c r="J49" s="874" t="s">
        <v>200</v>
      </c>
      <c r="K49" s="901">
        <f>IFERROR(SUMIF('Anaesthetic gases'!$A$11:$A$54,"="&amp;A49,'Anaesthetic gases'!$R$11:$R$54),"")</f>
        <v>0</v>
      </c>
      <c r="L49" s="900">
        <f ca="1">IFERROR(SUMIF('Refrigerant gases'!$A$12:AA$55,"="&amp;A49,'Refrigerant gases'!$T$12:$T$55),"")</f>
        <v>0</v>
      </c>
      <c r="M49" s="900">
        <f>IFERROR(SUMIF('Water '!$A$14:$A$57,"="&amp;A49,'Water '!$Q$14:$Q$57),"")</f>
        <v>0</v>
      </c>
      <c r="N49" s="900">
        <f>IFERROR(SUMIF(Waste!$A$17:$A$108,"="&amp;A49,Waste!$P$17:$P$108),"")</f>
        <v>0</v>
      </c>
      <c r="O49" s="873" t="s">
        <v>200</v>
      </c>
      <c r="P49" s="905">
        <f t="shared" ca="1" si="2"/>
        <v>0</v>
      </c>
      <c r="R49" s="711"/>
      <c r="S49" s="711"/>
      <c r="T49" s="711"/>
      <c r="U49" s="711"/>
      <c r="V49" s="711"/>
      <c r="W49" s="711"/>
      <c r="X49" s="711"/>
      <c r="Y49" s="711"/>
    </row>
    <row r="50" spans="1:25" x14ac:dyDescent="0.35">
      <c r="A50" s="1247" t="str">
        <f>Buildings!B12</f>
        <v>Laudium</v>
      </c>
      <c r="B50" s="900">
        <f>IFERROR(SUMIF(Energy!$B$16:$B$46,"="&amp;A50,Energy!$R$16:$R$46),"")</f>
        <v>0</v>
      </c>
      <c r="C50" s="901">
        <f>IFERROR(SUMIF(Energy!$B$81:$B$110,"="&amp;A50,Energy!$R$81:$R$110),"")</f>
        <v>0</v>
      </c>
      <c r="D50" s="901">
        <f>IFERROR(SUMIF(Energy!$B$113:$B$142,"="&amp;A50,Energy!$R$113:$R$142),"")</f>
        <v>0</v>
      </c>
      <c r="E50" s="901">
        <f>IFERROR(SUMIF(Energy!$B$145:$B$174,"=" &amp;A50,Energy!$R$145:$R$174),"")</f>
        <v>0</v>
      </c>
      <c r="F50" s="901">
        <f>IFERROR(SUMIF(Energy!$B$177:$B$226,"=" &amp;'Building Totals &amp; Benchmarking'!A50,Energy!$R$177:$R$226),"")</f>
        <v>0</v>
      </c>
      <c r="G50" s="901">
        <f>IFERROR(SUMIF(Energy!$B$229:$B$258,"=" &amp;'Building Totals &amp; Benchmarking'!A50,Energy!$R$229:$R$258),"")</f>
        <v>0</v>
      </c>
      <c r="H50" s="901">
        <f>IFERROR(SUMIF('Vehicle-Fuel'!$A$13:$A$60,"="&amp;A50,'Vehicle-Fuel'!$U$13:$U$60),"")</f>
        <v>0</v>
      </c>
      <c r="I50" s="874" t="s">
        <v>200</v>
      </c>
      <c r="J50" s="874" t="s">
        <v>200</v>
      </c>
      <c r="K50" s="901">
        <f>IFERROR(SUMIF('Anaesthetic gases'!$A$11:$A$54,"="&amp;A50,'Anaesthetic gases'!$R$11:$R$54),"")</f>
        <v>0</v>
      </c>
      <c r="L50" s="900">
        <f ca="1">IFERROR(SUMIF('Refrigerant gases'!$A$12:AA$55,"="&amp;A50,'Refrigerant gases'!$T$12:$T$55),"")</f>
        <v>0</v>
      </c>
      <c r="M50" s="900">
        <f>IFERROR(SUMIF('Water '!$A$14:$A$57,"="&amp;A50,'Water '!$Q$14:$Q$57),"")</f>
        <v>0</v>
      </c>
      <c r="N50" s="900">
        <f>IFERROR(SUMIF(Waste!$A$17:$A$108,"="&amp;A50,Waste!$P$17:$P$108),"")</f>
        <v>0</v>
      </c>
      <c r="O50" s="873" t="s">
        <v>200</v>
      </c>
      <c r="P50" s="905">
        <f t="shared" ca="1" si="2"/>
        <v>0</v>
      </c>
      <c r="R50" s="711"/>
      <c r="S50" s="711"/>
      <c r="T50" s="711"/>
      <c r="U50" s="711"/>
      <c r="V50" s="711"/>
      <c r="W50" s="711"/>
      <c r="X50" s="711"/>
      <c r="Y50" s="711"/>
    </row>
    <row r="51" spans="1:25" x14ac:dyDescent="0.35">
      <c r="A51" s="1247" t="str">
        <f>Buildings!B13</f>
        <v>Stanza</v>
      </c>
      <c r="B51" s="900">
        <f>IFERROR(SUMIF(Energy!$B$16:$B$46,"="&amp;A51,Energy!$R$16:$R$46),"")</f>
        <v>0</v>
      </c>
      <c r="C51" s="901">
        <f>IFERROR(SUMIF(Energy!$B$81:$B$110,"="&amp;A51,Energy!$R$81:$R$110),"")</f>
        <v>0</v>
      </c>
      <c r="D51" s="901">
        <f>IFERROR(SUMIF(Energy!$B$113:$B$142,"="&amp;A51,Energy!$R$113:$R$142),"")</f>
        <v>0</v>
      </c>
      <c r="E51" s="901">
        <f>IFERROR(SUMIF(Energy!$B$145:$B$174,"=" &amp;A51,Energy!$R$145:$R$174),"")</f>
        <v>0</v>
      </c>
      <c r="F51" s="901">
        <f>IFERROR(SUMIF(Energy!$B$177:$B$226,"=" &amp;'Building Totals &amp; Benchmarking'!A51,Energy!$R$177:$R$226),"")</f>
        <v>0</v>
      </c>
      <c r="G51" s="901">
        <f>IFERROR(SUMIF(Energy!$B$229:$B$258,"=" &amp;'Building Totals &amp; Benchmarking'!A51,Energy!$R$229:$R$258),"")</f>
        <v>0</v>
      </c>
      <c r="H51" s="901">
        <f>IFERROR(SUMIF('Vehicle-Fuel'!$A$13:$A$60,"="&amp;A51,'Vehicle-Fuel'!$U$13:$U$60),"")</f>
        <v>0</v>
      </c>
      <c r="I51" s="874" t="s">
        <v>200</v>
      </c>
      <c r="J51" s="874" t="s">
        <v>200</v>
      </c>
      <c r="K51" s="901">
        <f>IFERROR(SUMIF('Anaesthetic gases'!$A$11:$A$54,"="&amp;A51,'Anaesthetic gases'!$R$11:$R$54),"")</f>
        <v>0</v>
      </c>
      <c r="L51" s="900">
        <f ca="1">IFERROR(SUMIF('Refrigerant gases'!$A$12:AA$55,"="&amp;A51,'Refrigerant gases'!$T$12:$T$55),"")</f>
        <v>0</v>
      </c>
      <c r="M51" s="900">
        <f>IFERROR(SUMIF('Water '!$A$14:$A$57,"="&amp;A51,'Water '!$Q$14:$Q$57),"")</f>
        <v>0</v>
      </c>
      <c r="N51" s="900">
        <f>IFERROR(SUMIF(Waste!$A$17:$A$108,"="&amp;A51,Waste!$P$17:$P$108),"")</f>
        <v>0</v>
      </c>
      <c r="O51" s="873" t="s">
        <v>200</v>
      </c>
      <c r="P51" s="905">
        <f t="shared" ca="1" si="2"/>
        <v>0</v>
      </c>
      <c r="R51" s="711"/>
      <c r="S51" s="711"/>
      <c r="T51" s="711"/>
      <c r="U51" s="711"/>
      <c r="V51" s="711"/>
      <c r="W51" s="711"/>
      <c r="X51" s="711"/>
      <c r="Y51" s="711"/>
    </row>
    <row r="52" spans="1:25" x14ac:dyDescent="0.35">
      <c r="A52" s="1247">
        <f>Buildings!B14</f>
        <v>0</v>
      </c>
      <c r="B52" s="900">
        <f>IFERROR(SUMIF(Energy!$B$16:$B$46,"="&amp;A52,Energy!$R$16:$R$46),"")</f>
        <v>0</v>
      </c>
      <c r="C52" s="901">
        <f>IFERROR(SUMIF(Energy!$B$81:$B$110,"="&amp;A52,Energy!$R$81:$R$110),"")</f>
        <v>0</v>
      </c>
      <c r="D52" s="901">
        <f>IFERROR(SUMIF(Energy!$B$113:$B$142,"="&amp;A52,Energy!$R$113:$R$142),"")</f>
        <v>0</v>
      </c>
      <c r="E52" s="901">
        <f>IFERROR(SUMIF(Energy!$B$145:$B$174,"=" &amp;A52,Energy!$R$145:$R$174),"")</f>
        <v>0</v>
      </c>
      <c r="F52" s="901">
        <f>IFERROR(SUMIF(Energy!$B$177:$B$226,"=" &amp;'Building Totals &amp; Benchmarking'!A52,Energy!$R$177:$R$226),"")</f>
        <v>0</v>
      </c>
      <c r="G52" s="901">
        <f>IFERROR(SUMIF(Energy!$B$229:$B$258,"=" &amp;'Building Totals &amp; Benchmarking'!A52,Energy!$R$229:$R$258),"")</f>
        <v>0</v>
      </c>
      <c r="H52" s="901">
        <f>IFERROR(SUMIF('Vehicle-Fuel'!$A$13:$A$60,"="&amp;A52,'Vehicle-Fuel'!$U$13:$U$60),"")</f>
        <v>0</v>
      </c>
      <c r="I52" s="874" t="s">
        <v>200</v>
      </c>
      <c r="J52" s="874" t="s">
        <v>200</v>
      </c>
      <c r="K52" s="901">
        <f>IFERROR(SUMIF('Anaesthetic gases'!$A$11:$A$54,"="&amp;A52,'Anaesthetic gases'!$R$11:$R$54),"")</f>
        <v>0</v>
      </c>
      <c r="L52" s="900">
        <f ca="1">IFERROR(SUMIF('Refrigerant gases'!$A$12:AA$55,"="&amp;A52,'Refrigerant gases'!$T$12:$T$55),"")</f>
        <v>0</v>
      </c>
      <c r="M52" s="900">
        <f>IFERROR(SUMIF('Water '!$A$14:$A$57,"="&amp;A52,'Water '!$Q$14:$Q$57),"")</f>
        <v>0</v>
      </c>
      <c r="N52" s="900">
        <f>IFERROR(SUMIF(Waste!$A$17:$A$108,"="&amp;A52,Waste!$P$17:$P$108),"")</f>
        <v>0</v>
      </c>
      <c r="O52" s="873" t="s">
        <v>200</v>
      </c>
      <c r="P52" s="905">
        <f t="shared" ca="1" si="2"/>
        <v>0</v>
      </c>
      <c r="R52" s="711"/>
      <c r="S52" s="711"/>
      <c r="T52" s="711"/>
      <c r="U52" s="711"/>
      <c r="V52" s="711"/>
      <c r="W52" s="711"/>
      <c r="X52" s="711"/>
      <c r="Y52" s="711"/>
    </row>
    <row r="53" spans="1:25" x14ac:dyDescent="0.35">
      <c r="A53" s="1247">
        <f>Buildings!B15</f>
        <v>0</v>
      </c>
      <c r="B53" s="900">
        <f>IFERROR(SUMIF(Energy!$B$16:$B$46,"="&amp;A53,Energy!$R$16:$R$46),"")</f>
        <v>0</v>
      </c>
      <c r="C53" s="901">
        <f>IFERROR(SUMIF(Energy!$B$81:$B$110,"="&amp;A53,Energy!$R$81:$R$110),"")</f>
        <v>0</v>
      </c>
      <c r="D53" s="901">
        <f>IFERROR(SUMIF(Energy!$B$113:$B$142,"="&amp;A53,Energy!$R$113:$R$142),"")</f>
        <v>0</v>
      </c>
      <c r="E53" s="901">
        <f>IFERROR(SUMIF(Energy!$B$145:$B$174,"=" &amp;A53,Energy!$R$145:$R$174),"")</f>
        <v>0</v>
      </c>
      <c r="F53" s="901">
        <f>IFERROR(SUMIF(Energy!$B$177:$B$226,"=" &amp;'Building Totals &amp; Benchmarking'!A53,Energy!$R$177:$R$226),"")</f>
        <v>0</v>
      </c>
      <c r="G53" s="901">
        <f>IFERROR(SUMIF(Energy!$B$229:$B$258,"=" &amp;'Building Totals &amp; Benchmarking'!A53,Energy!$R$229:$R$258),"")</f>
        <v>0</v>
      </c>
      <c r="H53" s="901">
        <f>IFERROR(SUMIF('Vehicle-Fuel'!$A$13:$A$60,"="&amp;A53,'Vehicle-Fuel'!$U$13:$U$60),"")</f>
        <v>0</v>
      </c>
      <c r="I53" s="874" t="s">
        <v>200</v>
      </c>
      <c r="J53" s="874" t="s">
        <v>200</v>
      </c>
      <c r="K53" s="901">
        <f>IFERROR(SUMIF('Anaesthetic gases'!$A$11:$A$54,"="&amp;A53,'Anaesthetic gases'!$R$11:$R$54),"")</f>
        <v>0</v>
      </c>
      <c r="L53" s="900">
        <f ca="1">IFERROR(SUMIF('Refrigerant gases'!$A$12:AA$55,"="&amp;A53,'Refrigerant gases'!$T$12:$T$55),"")</f>
        <v>0</v>
      </c>
      <c r="M53" s="900">
        <f>IFERROR(SUMIF('Water '!$A$14:$A$57,"="&amp;A53,'Water '!$Q$14:$Q$57),"")</f>
        <v>0</v>
      </c>
      <c r="N53" s="900">
        <f>IFERROR(SUMIF(Waste!$A$17:$A$108,"="&amp;A53,Waste!$P$17:$P$108),"")</f>
        <v>0</v>
      </c>
      <c r="O53" s="873" t="s">
        <v>200</v>
      </c>
      <c r="P53" s="905">
        <f t="shared" ca="1" si="2"/>
        <v>0</v>
      </c>
      <c r="R53" s="711"/>
      <c r="S53" s="711"/>
      <c r="T53" s="711"/>
      <c r="U53" s="711"/>
      <c r="V53" s="711"/>
      <c r="W53" s="711"/>
      <c r="X53" s="711"/>
      <c r="Y53" s="711"/>
    </row>
    <row r="54" spans="1:25" x14ac:dyDescent="0.35">
      <c r="A54" s="1247">
        <f>Buildings!B16</f>
        <v>0</v>
      </c>
      <c r="B54" s="900">
        <f>IFERROR(SUMIF(Energy!$B$16:$B$46,"="&amp;A54,Energy!$R$16:$R$46),"")</f>
        <v>0</v>
      </c>
      <c r="C54" s="901">
        <f>IFERROR(SUMIF(Energy!$B$81:$B$110,"="&amp;A54,Energy!$R$81:$R$110),"")</f>
        <v>0</v>
      </c>
      <c r="D54" s="901">
        <f>IFERROR(SUMIF(Energy!$B$113:$B$142,"="&amp;A54,Energy!$R$113:$R$142),"")</f>
        <v>0</v>
      </c>
      <c r="E54" s="901">
        <f>IFERROR(SUMIF(Energy!$B$145:$B$174,"=" &amp;A54,Energy!$R$145:$R$174),"")</f>
        <v>0</v>
      </c>
      <c r="F54" s="901">
        <f>IFERROR(SUMIF(Energy!$B$177:$B$226,"=" &amp;'Building Totals &amp; Benchmarking'!A54,Energy!$R$177:$R$226),"")</f>
        <v>0</v>
      </c>
      <c r="G54" s="901">
        <f>IFERROR(SUMIF(Energy!$B$229:$B$258,"=" &amp;'Building Totals &amp; Benchmarking'!A54,Energy!$R$229:$R$258),"")</f>
        <v>0</v>
      </c>
      <c r="H54" s="901">
        <f>IFERROR(SUMIF('Vehicle-Fuel'!$A$13:$A$60,"="&amp;A54,'Vehicle-Fuel'!$U$13:$U$60),"")</f>
        <v>0</v>
      </c>
      <c r="I54" s="874" t="s">
        <v>200</v>
      </c>
      <c r="J54" s="874" t="s">
        <v>200</v>
      </c>
      <c r="K54" s="901">
        <f>IFERROR(SUMIF('Anaesthetic gases'!$A$11:$A$54,"="&amp;A54,'Anaesthetic gases'!$R$11:$R$54),"")</f>
        <v>0</v>
      </c>
      <c r="L54" s="900">
        <f ca="1">IFERROR(SUMIF('Refrigerant gases'!$A$12:AA$55,"="&amp;A54,'Refrigerant gases'!$T$12:$T$55),"")</f>
        <v>0</v>
      </c>
      <c r="M54" s="900">
        <f>IFERROR(SUMIF('Water '!$A$14:$A$57,"="&amp;A54,'Water '!$Q$14:$Q$57),"")</f>
        <v>0</v>
      </c>
      <c r="N54" s="900">
        <f>IFERROR(SUMIF(Waste!$A$17:$A$108,"="&amp;A54,Waste!$P$17:$P$108),"")</f>
        <v>0</v>
      </c>
      <c r="O54" s="873" t="s">
        <v>200</v>
      </c>
      <c r="P54" s="905">
        <f t="shared" ca="1" si="2"/>
        <v>0</v>
      </c>
      <c r="R54" s="711"/>
      <c r="S54" s="711"/>
      <c r="T54" s="711"/>
      <c r="U54" s="711"/>
      <c r="V54" s="711"/>
      <c r="W54" s="711"/>
      <c r="X54" s="711"/>
      <c r="Y54" s="711"/>
    </row>
    <row r="55" spans="1:25" x14ac:dyDescent="0.35">
      <c r="A55" s="1247">
        <f>Buildings!B17</f>
        <v>0</v>
      </c>
      <c r="B55" s="900">
        <f>IFERROR(SUMIF(Energy!$B$16:$B$46,"="&amp;A55,Energy!$R$16:$R$46),"")</f>
        <v>0</v>
      </c>
      <c r="C55" s="901">
        <f>IFERROR(SUMIF(Energy!$B$81:$B$110,"="&amp;A55,Energy!$R$81:$R$110),"")</f>
        <v>0</v>
      </c>
      <c r="D55" s="901">
        <f>IFERROR(SUMIF(Energy!$B$113:$B$142,"="&amp;A55,Energy!$R$113:$R$142),"")</f>
        <v>0</v>
      </c>
      <c r="E55" s="901">
        <f>IFERROR(SUMIF(Energy!$B$145:$B$174,"=" &amp;A55,Energy!$R$145:$R$174),"")</f>
        <v>0</v>
      </c>
      <c r="F55" s="901">
        <f>IFERROR(SUMIF(Energy!$B$177:$B$226,"=" &amp;'Building Totals &amp; Benchmarking'!A55,Energy!$R$177:$R$226),"")</f>
        <v>0</v>
      </c>
      <c r="G55" s="901">
        <f>IFERROR(SUMIF(Energy!$B$229:$B$258,"=" &amp;'Building Totals &amp; Benchmarking'!A55,Energy!$R$229:$R$258),"")</f>
        <v>0</v>
      </c>
      <c r="H55" s="901">
        <f>IFERROR(SUMIF('Vehicle-Fuel'!$A$13:$A$60,"="&amp;A55,'Vehicle-Fuel'!$U$13:$U$60),"")</f>
        <v>0</v>
      </c>
      <c r="I55" s="874" t="s">
        <v>200</v>
      </c>
      <c r="J55" s="874" t="s">
        <v>200</v>
      </c>
      <c r="K55" s="901">
        <f>IFERROR(SUMIF('Anaesthetic gases'!$A$11:$A$54,"="&amp;A55,'Anaesthetic gases'!$R$11:$R$54),"")</f>
        <v>0</v>
      </c>
      <c r="L55" s="900">
        <f ca="1">IFERROR(SUMIF('Refrigerant gases'!$A$12:AA$55,"="&amp;A55,'Refrigerant gases'!$T$12:$T$55),"")</f>
        <v>0</v>
      </c>
      <c r="M55" s="900">
        <f>IFERROR(SUMIF('Water '!$A$14:$A$57,"="&amp;A55,'Water '!$Q$14:$Q$57),"")</f>
        <v>0</v>
      </c>
      <c r="N55" s="900">
        <f>IFERROR(SUMIF(Waste!$A$17:$A$108,"="&amp;A55,Waste!$P$17:$P$108),"")</f>
        <v>0</v>
      </c>
      <c r="O55" s="873" t="s">
        <v>200</v>
      </c>
      <c r="P55" s="905">
        <f t="shared" ca="1" si="2"/>
        <v>0</v>
      </c>
      <c r="R55" s="711"/>
      <c r="S55" s="711"/>
      <c r="T55" s="711"/>
      <c r="U55" s="711"/>
      <c r="V55" s="711"/>
      <c r="W55" s="711"/>
      <c r="X55" s="711"/>
      <c r="Y55" s="711"/>
    </row>
    <row r="56" spans="1:25" x14ac:dyDescent="0.35">
      <c r="A56" s="1247">
        <f>Buildings!B18</f>
        <v>0</v>
      </c>
      <c r="B56" s="900">
        <f>IFERROR(SUMIF(Energy!$B$16:$B$46,"="&amp;A56,Energy!$R$16:$R$46),"")</f>
        <v>0</v>
      </c>
      <c r="C56" s="901">
        <f>IFERROR(SUMIF(Energy!$B$81:$B$110,"="&amp;A56,Energy!$R$81:$R$110),"")</f>
        <v>0</v>
      </c>
      <c r="D56" s="901">
        <f>IFERROR(SUMIF(Energy!$B$113:$B$142,"="&amp;A56,Energy!$R$113:$R$142),"")</f>
        <v>0</v>
      </c>
      <c r="E56" s="901">
        <f>IFERROR(SUMIF(Energy!$B$145:$B$174,"=" &amp;A56,Energy!$R$145:$R$174),"")</f>
        <v>0</v>
      </c>
      <c r="F56" s="901">
        <f>IFERROR(SUMIF(Energy!$B$177:$B$226,"=" &amp;'Building Totals &amp; Benchmarking'!A56,Energy!$R$177:$R$226),"")</f>
        <v>0</v>
      </c>
      <c r="G56" s="901">
        <f>IFERROR(SUMIF(Energy!$B$229:$B$258,"=" &amp;'Building Totals &amp; Benchmarking'!A56,Energy!$R$229:$R$258),"")</f>
        <v>0</v>
      </c>
      <c r="H56" s="901">
        <f>IFERROR(SUMIF('Vehicle-Fuel'!$A$13:$A$60,"="&amp;A56,'Vehicle-Fuel'!$U$13:$U$60),"")</f>
        <v>0</v>
      </c>
      <c r="I56" s="874" t="s">
        <v>200</v>
      </c>
      <c r="J56" s="874" t="s">
        <v>200</v>
      </c>
      <c r="K56" s="901">
        <f>IFERROR(SUMIF('Anaesthetic gases'!$A$11:$A$54,"="&amp;A56,'Anaesthetic gases'!$R$11:$R$54),"")</f>
        <v>0</v>
      </c>
      <c r="L56" s="900">
        <f ca="1">IFERROR(SUMIF('Refrigerant gases'!$A$12:AA$55,"="&amp;A56,'Refrigerant gases'!$T$12:$T$55),"")</f>
        <v>0</v>
      </c>
      <c r="M56" s="900">
        <f>IFERROR(SUMIF('Water '!$A$14:$A$57,"="&amp;A56,'Water '!$Q$14:$Q$57),"")</f>
        <v>0</v>
      </c>
      <c r="N56" s="900">
        <f>IFERROR(SUMIF(Waste!$A$17:$A$108,"="&amp;A56,Waste!$P$17:$P$108),"")</f>
        <v>0</v>
      </c>
      <c r="O56" s="873" t="s">
        <v>200</v>
      </c>
      <c r="P56" s="905">
        <f t="shared" ca="1" si="2"/>
        <v>0</v>
      </c>
      <c r="R56" s="711"/>
      <c r="S56" s="711"/>
      <c r="T56" s="711"/>
      <c r="U56" s="711"/>
      <c r="V56" s="711"/>
      <c r="W56" s="711"/>
      <c r="X56" s="711"/>
      <c r="Y56" s="711"/>
    </row>
    <row r="57" spans="1:25" x14ac:dyDescent="0.35">
      <c r="A57" s="1247">
        <f>Buildings!B19</f>
        <v>0</v>
      </c>
      <c r="B57" s="900">
        <f>IFERROR(SUMIF(Energy!$B$16:$B$46,"="&amp;A57,Energy!$R$16:$R$46),"")</f>
        <v>0</v>
      </c>
      <c r="C57" s="901">
        <f>IFERROR(SUMIF(Energy!$B$81:$B$110,"="&amp;A57,Energy!$R$81:$R$110),"")</f>
        <v>0</v>
      </c>
      <c r="D57" s="901">
        <f>IFERROR(SUMIF(Energy!$B$113:$B$142,"="&amp;A57,Energy!$R$113:$R$142),"")</f>
        <v>0</v>
      </c>
      <c r="E57" s="901">
        <f>IFERROR(SUMIF(Energy!$B$145:$B$174,"=" &amp;A57,Energy!$R$145:$R$174),"")</f>
        <v>0</v>
      </c>
      <c r="F57" s="901">
        <f>IFERROR(SUMIF(Energy!$B$177:$B$226,"=" &amp;'Building Totals &amp; Benchmarking'!A57,Energy!$R$177:$R$226),"")</f>
        <v>0</v>
      </c>
      <c r="G57" s="901">
        <f>IFERROR(SUMIF(Energy!$B$229:$B$258,"=" &amp;'Building Totals &amp; Benchmarking'!A57,Energy!$R$229:$R$258),"")</f>
        <v>0</v>
      </c>
      <c r="H57" s="901">
        <f>IFERROR(SUMIF('Vehicle-Fuel'!$A$13:$A$60,"="&amp;A57,'Vehicle-Fuel'!$U$13:$U$60),"")</f>
        <v>0</v>
      </c>
      <c r="I57" s="874" t="s">
        <v>200</v>
      </c>
      <c r="J57" s="874" t="s">
        <v>200</v>
      </c>
      <c r="K57" s="901">
        <f>IFERROR(SUMIF('Anaesthetic gases'!$A$11:$A$54,"="&amp;A57,'Anaesthetic gases'!$R$11:$R$54),"")</f>
        <v>0</v>
      </c>
      <c r="L57" s="900">
        <f ca="1">IFERROR(SUMIF('Refrigerant gases'!$A$12:AA$55,"="&amp;A57,'Refrigerant gases'!$T$12:$T$55),"")</f>
        <v>0</v>
      </c>
      <c r="M57" s="900">
        <f>IFERROR(SUMIF('Water '!$A$14:$A$57,"="&amp;A57,'Water '!$Q$14:$Q$57),"")</f>
        <v>0</v>
      </c>
      <c r="N57" s="900">
        <f>IFERROR(SUMIF(Waste!$A$17:$A$108,"="&amp;A57,Waste!$P$17:$P$108),"")</f>
        <v>0</v>
      </c>
      <c r="O57" s="873" t="s">
        <v>200</v>
      </c>
      <c r="P57" s="905">
        <f t="shared" ca="1" si="2"/>
        <v>0</v>
      </c>
      <c r="R57" s="711"/>
      <c r="S57" s="711"/>
      <c r="T57" s="711"/>
      <c r="U57" s="711"/>
      <c r="V57" s="711"/>
      <c r="W57" s="711"/>
      <c r="X57" s="711"/>
      <c r="Y57" s="711"/>
    </row>
    <row r="58" spans="1:25" x14ac:dyDescent="0.35">
      <c r="A58" s="1247">
        <f>Buildings!B20</f>
        <v>0</v>
      </c>
      <c r="B58" s="900">
        <f>IFERROR(SUMIF(Energy!$B$16:$B$46,"="&amp;A58,Energy!$R$16:$R$46),"")</f>
        <v>0</v>
      </c>
      <c r="C58" s="901">
        <f>IFERROR(SUMIF(Energy!$B$81:$B$110,"="&amp;A58,Energy!$R$81:$R$110),"")</f>
        <v>0</v>
      </c>
      <c r="D58" s="901">
        <f>IFERROR(SUMIF(Energy!$B$113:$B$142,"="&amp;A58,Energy!$R$113:$R$142),"")</f>
        <v>0</v>
      </c>
      <c r="E58" s="901">
        <f>IFERROR(SUMIF(Energy!$B$145:$B$174,"=" &amp;A58,Energy!$R$145:$R$174),"")</f>
        <v>0</v>
      </c>
      <c r="F58" s="901">
        <f>IFERROR(SUMIF(Energy!$B$177:$B$226,"=" &amp;'Building Totals &amp; Benchmarking'!A58,Energy!$R$177:$R$226),"")</f>
        <v>0</v>
      </c>
      <c r="G58" s="901">
        <f>IFERROR(SUMIF(Energy!$B$229:$B$258,"=" &amp;'Building Totals &amp; Benchmarking'!A58,Energy!$R$229:$R$258),"")</f>
        <v>0</v>
      </c>
      <c r="H58" s="901">
        <f>IFERROR(SUMIF('Vehicle-Fuel'!$A$13:$A$60,"="&amp;A58,'Vehicle-Fuel'!$U$13:$U$60),"")</f>
        <v>0</v>
      </c>
      <c r="I58" s="874" t="s">
        <v>200</v>
      </c>
      <c r="J58" s="874" t="s">
        <v>200</v>
      </c>
      <c r="K58" s="901">
        <f>IFERROR(SUMIF('Anaesthetic gases'!$A$11:$A$54,"="&amp;A58,'Anaesthetic gases'!$R$11:$R$54),"")</f>
        <v>0</v>
      </c>
      <c r="L58" s="900">
        <f ca="1">IFERROR(SUMIF('Refrigerant gases'!$A$12:AA$55,"="&amp;A58,'Refrigerant gases'!$T$12:$T$55),"")</f>
        <v>0</v>
      </c>
      <c r="M58" s="900">
        <f>IFERROR(SUMIF('Water '!$A$14:$A$57,"="&amp;A58,'Water '!$Q$14:$Q$57),"")</f>
        <v>0</v>
      </c>
      <c r="N58" s="900">
        <f>IFERROR(SUMIF(Waste!$A$17:$A$108,"="&amp;A58,Waste!$P$17:$P$108),"")</f>
        <v>0</v>
      </c>
      <c r="O58" s="873" t="s">
        <v>200</v>
      </c>
      <c r="P58" s="905">
        <f t="shared" ca="1" si="2"/>
        <v>0</v>
      </c>
      <c r="R58" s="711"/>
      <c r="S58" s="711"/>
      <c r="T58" s="711"/>
      <c r="U58" s="711"/>
      <c r="V58" s="711"/>
      <c r="W58" s="711"/>
      <c r="X58" s="711"/>
      <c r="Y58" s="711"/>
    </row>
    <row r="59" spans="1:25" x14ac:dyDescent="0.35">
      <c r="A59" s="1247">
        <f>Buildings!B21</f>
        <v>0</v>
      </c>
      <c r="B59" s="900">
        <f>IFERROR(SUMIF(Energy!$B$16:$B$46,"="&amp;A59,Energy!$R$16:$R$46),"")</f>
        <v>0</v>
      </c>
      <c r="C59" s="901">
        <f>IFERROR(SUMIF(Energy!$B$81:$B$110,"="&amp;A59,Energy!$R$81:$R$110),"")</f>
        <v>0</v>
      </c>
      <c r="D59" s="901">
        <f>IFERROR(SUMIF(Energy!$B$113:$B$142,"="&amp;A59,Energy!$R$113:$R$142),"")</f>
        <v>0</v>
      </c>
      <c r="E59" s="901">
        <f>IFERROR(SUMIF(Energy!$B$145:$B$174,"=" &amp;A59,Energy!$R$145:$R$174),"")</f>
        <v>0</v>
      </c>
      <c r="F59" s="901">
        <f>IFERROR(SUMIF(Energy!$B$177:$B$226,"=" &amp;'Building Totals &amp; Benchmarking'!A59,Energy!$R$177:$R$226),"")</f>
        <v>0</v>
      </c>
      <c r="G59" s="901">
        <f>IFERROR(SUMIF(Energy!$B$229:$B$258,"=" &amp;'Building Totals &amp; Benchmarking'!A59,Energy!$R$229:$R$258),"")</f>
        <v>0</v>
      </c>
      <c r="H59" s="901">
        <f>IFERROR(SUMIF('Vehicle-Fuel'!$A$13:$A$60,"="&amp;A59,'Vehicle-Fuel'!$U$13:$U$60),"")</f>
        <v>0</v>
      </c>
      <c r="I59" s="874" t="s">
        <v>200</v>
      </c>
      <c r="J59" s="874" t="s">
        <v>200</v>
      </c>
      <c r="K59" s="901">
        <f>IFERROR(SUMIF('Anaesthetic gases'!$A$11:$A$54,"="&amp;A59,'Anaesthetic gases'!$R$11:$R$54),"")</f>
        <v>0</v>
      </c>
      <c r="L59" s="900">
        <f ca="1">IFERROR(SUMIF('Refrigerant gases'!$A$12:AA$55,"="&amp;A59,'Refrigerant gases'!$T$12:$T$55),"")</f>
        <v>0</v>
      </c>
      <c r="M59" s="900">
        <f>IFERROR(SUMIF('Water '!$A$14:$A$57,"="&amp;A59,'Water '!$Q$14:$Q$57),"")</f>
        <v>0</v>
      </c>
      <c r="N59" s="900">
        <f>IFERROR(SUMIF(Waste!$A$17:$A$108,"="&amp;A59,Waste!$P$17:$P$108),"")</f>
        <v>0</v>
      </c>
      <c r="O59" s="873" t="s">
        <v>200</v>
      </c>
      <c r="P59" s="905">
        <f t="shared" ca="1" si="2"/>
        <v>0</v>
      </c>
      <c r="R59" s="711"/>
      <c r="S59" s="711"/>
      <c r="T59" s="711"/>
      <c r="U59" s="711"/>
      <c r="V59" s="711"/>
      <c r="W59" s="711"/>
      <c r="X59" s="711"/>
      <c r="Y59" s="711"/>
    </row>
    <row r="60" spans="1:25" x14ac:dyDescent="0.35">
      <c r="A60" s="1247">
        <f>Buildings!B22</f>
        <v>0</v>
      </c>
      <c r="B60" s="900">
        <f>IFERROR(SUMIF(Energy!$B$16:$B$46,"="&amp;A60,Energy!$R$16:$R$46),"")</f>
        <v>0</v>
      </c>
      <c r="C60" s="901">
        <f>IFERROR(SUMIF(Energy!$B$81:$B$110,"="&amp;A60,Energy!$R$81:$R$110),"")</f>
        <v>0</v>
      </c>
      <c r="D60" s="901">
        <f>IFERROR(SUMIF(Energy!$B$113:$B$142,"="&amp;A60,Energy!$R$113:$R$142),"")</f>
        <v>0</v>
      </c>
      <c r="E60" s="901">
        <f>IFERROR(SUMIF(Energy!$B$145:$B$174,"=" &amp;A60,Energy!$R$145:$R$174),"")</f>
        <v>0</v>
      </c>
      <c r="F60" s="901">
        <f>IFERROR(SUMIF(Energy!$B$177:$B$226,"=" &amp;'Building Totals &amp; Benchmarking'!A60,Energy!$R$177:$R$226),"")</f>
        <v>0</v>
      </c>
      <c r="G60" s="901">
        <f>IFERROR(SUMIF(Energy!$B$229:$B$258,"=" &amp;'Building Totals &amp; Benchmarking'!A60,Energy!$R$229:$R$258),"")</f>
        <v>0</v>
      </c>
      <c r="H60" s="901">
        <f>IFERROR(SUMIF('Vehicle-Fuel'!$A$13:$A$60,"="&amp;A60,'Vehicle-Fuel'!$U$13:$U$60),"")</f>
        <v>0</v>
      </c>
      <c r="I60" s="874" t="s">
        <v>200</v>
      </c>
      <c r="J60" s="874" t="s">
        <v>200</v>
      </c>
      <c r="K60" s="901">
        <f>IFERROR(SUMIF('Anaesthetic gases'!$A$11:$A$54,"="&amp;A60,'Anaesthetic gases'!$R$11:$R$54),"")</f>
        <v>0</v>
      </c>
      <c r="L60" s="900">
        <f ca="1">IFERROR(SUMIF('Refrigerant gases'!$A$12:AA$55,"="&amp;A60,'Refrigerant gases'!$T$12:$T$55),"")</f>
        <v>0</v>
      </c>
      <c r="M60" s="900">
        <f>IFERROR(SUMIF('Water '!$A$14:$A$57,"="&amp;A60,'Water '!$Q$14:$Q$57),"")</f>
        <v>0</v>
      </c>
      <c r="N60" s="900">
        <f>IFERROR(SUMIF(Waste!$A$17:$A$108,"="&amp;A60,Waste!$P$17:$P$108),"")</f>
        <v>0</v>
      </c>
      <c r="O60" s="873" t="s">
        <v>200</v>
      </c>
      <c r="P60" s="905">
        <f t="shared" ca="1" si="2"/>
        <v>0</v>
      </c>
      <c r="R60" s="711"/>
      <c r="S60" s="711"/>
      <c r="T60" s="711"/>
      <c r="U60" s="711"/>
      <c r="V60" s="711"/>
      <c r="W60" s="711"/>
      <c r="X60" s="711"/>
      <c r="Y60" s="711"/>
    </row>
    <row r="61" spans="1:25" x14ac:dyDescent="0.35">
      <c r="A61" s="1247">
        <f>Buildings!B23</f>
        <v>0</v>
      </c>
      <c r="B61" s="900">
        <f>IFERROR(SUMIF(Energy!$B$16:$B$46,"="&amp;A61,Energy!$R$16:$R$46),"")</f>
        <v>0</v>
      </c>
      <c r="C61" s="901">
        <f>IFERROR(SUMIF(Energy!$B$81:$B$110,"="&amp;A61,Energy!$R$81:$R$110),"")</f>
        <v>0</v>
      </c>
      <c r="D61" s="901">
        <f>IFERROR(SUMIF(Energy!$B$113:$B$142,"="&amp;A61,Energy!$R$113:$R$142),"")</f>
        <v>0</v>
      </c>
      <c r="E61" s="901">
        <f>IFERROR(SUMIF(Energy!$B$145:$B$174,"=" &amp;A61,Energy!$R$145:$R$174),"")</f>
        <v>0</v>
      </c>
      <c r="F61" s="901">
        <f>IFERROR(SUMIF(Energy!$B$177:$B$226,"=" &amp;'Building Totals &amp; Benchmarking'!A61,Energy!$R$177:$R$226),"")</f>
        <v>0</v>
      </c>
      <c r="G61" s="901">
        <f>IFERROR(SUMIF(Energy!$B$229:$B$258,"=" &amp;'Building Totals &amp; Benchmarking'!A61,Energy!$R$229:$R$258),"")</f>
        <v>0</v>
      </c>
      <c r="H61" s="901">
        <f>IFERROR(SUMIF('Vehicle-Fuel'!$A$13:$A$60,"="&amp;A61,'Vehicle-Fuel'!$U$13:$U$60),"")</f>
        <v>0</v>
      </c>
      <c r="I61" s="874" t="s">
        <v>200</v>
      </c>
      <c r="J61" s="874" t="s">
        <v>200</v>
      </c>
      <c r="K61" s="901">
        <f>IFERROR(SUMIF('Anaesthetic gases'!$A$11:$A$54,"="&amp;A61,'Anaesthetic gases'!$R$11:$R$54),"")</f>
        <v>0</v>
      </c>
      <c r="L61" s="900">
        <f ca="1">IFERROR(SUMIF('Refrigerant gases'!$A$12:AA$55,"="&amp;A61,'Refrigerant gases'!$T$12:$T$55),"")</f>
        <v>0</v>
      </c>
      <c r="M61" s="900">
        <f>IFERROR(SUMIF('Water '!$A$14:$A$57,"="&amp;A61,'Water '!$Q$14:$Q$57),"")</f>
        <v>0</v>
      </c>
      <c r="N61" s="900">
        <f>IFERROR(SUMIF(Waste!$A$17:$A$108,"="&amp;A61,Waste!$P$17:$P$108),"")</f>
        <v>0</v>
      </c>
      <c r="O61" s="873" t="s">
        <v>200</v>
      </c>
      <c r="P61" s="905">
        <f t="shared" ca="1" si="2"/>
        <v>0</v>
      </c>
      <c r="R61" s="711"/>
      <c r="S61" s="711"/>
      <c r="T61" s="711"/>
      <c r="U61" s="711"/>
      <c r="V61" s="711"/>
      <c r="W61" s="711"/>
      <c r="X61" s="711"/>
      <c r="Y61" s="711"/>
    </row>
    <row r="62" spans="1:25" x14ac:dyDescent="0.35">
      <c r="A62" s="1247">
        <f>Buildings!B24</f>
        <v>0</v>
      </c>
      <c r="B62" s="900">
        <f>IFERROR(SUMIF(Energy!$B$16:$B$46,"="&amp;A62,Energy!$R$16:$R$46),"")</f>
        <v>0</v>
      </c>
      <c r="C62" s="901">
        <f>IFERROR(SUMIF(Energy!$B$81:$B$110,"="&amp;A62,Energy!$R$81:$R$110),"")</f>
        <v>0</v>
      </c>
      <c r="D62" s="901">
        <f>IFERROR(SUMIF(Energy!$B$113:$B$142,"="&amp;A62,Energy!$R$113:$R$142),"")</f>
        <v>0</v>
      </c>
      <c r="E62" s="901">
        <f>IFERROR(SUMIF(Energy!$B$145:$B$174,"=" &amp;A62,Energy!$R$145:$R$174),"")</f>
        <v>0</v>
      </c>
      <c r="F62" s="901">
        <f>IFERROR(SUMIF(Energy!$B$177:$B$226,"=" &amp;'Building Totals &amp; Benchmarking'!A62,Energy!$R$177:$R$226),"")</f>
        <v>0</v>
      </c>
      <c r="G62" s="901">
        <f>IFERROR(SUMIF(Energy!$B$229:$B$258,"=" &amp;'Building Totals &amp; Benchmarking'!A62,Energy!$R$229:$R$258),"")</f>
        <v>0</v>
      </c>
      <c r="H62" s="901">
        <f>IFERROR(SUMIF('Vehicle-Fuel'!$A$13:$A$60,"="&amp;A62,'Vehicle-Fuel'!$U$13:$U$60),"")</f>
        <v>0</v>
      </c>
      <c r="I62" s="874" t="s">
        <v>200</v>
      </c>
      <c r="J62" s="874" t="s">
        <v>200</v>
      </c>
      <c r="K62" s="901">
        <f>IFERROR(SUMIF('Anaesthetic gases'!$A$11:$A$54,"="&amp;A62,'Anaesthetic gases'!$R$11:$R$54),"")</f>
        <v>0</v>
      </c>
      <c r="L62" s="900">
        <f ca="1">IFERROR(SUMIF('Refrigerant gases'!$A$12:AA$55,"="&amp;A62,'Refrigerant gases'!$T$12:$T$55),"")</f>
        <v>0</v>
      </c>
      <c r="M62" s="900">
        <f>IFERROR(SUMIF('Water '!$A$14:$A$57,"="&amp;A62,'Water '!$Q$14:$Q$57),"")</f>
        <v>0</v>
      </c>
      <c r="N62" s="900">
        <f>IFERROR(SUMIF(Waste!$A$17:$A$108,"="&amp;A62,Waste!$P$17:$P$108),"")</f>
        <v>0</v>
      </c>
      <c r="O62" s="873" t="s">
        <v>200</v>
      </c>
      <c r="P62" s="905">
        <f t="shared" ca="1" si="2"/>
        <v>0</v>
      </c>
      <c r="R62" s="711"/>
      <c r="S62" s="711"/>
      <c r="T62" s="711"/>
      <c r="U62" s="711"/>
      <c r="V62" s="711"/>
      <c r="W62" s="711"/>
      <c r="X62" s="711"/>
      <c r="Y62" s="711"/>
    </row>
    <row r="63" spans="1:25" x14ac:dyDescent="0.35">
      <c r="A63" s="1247">
        <f>Buildings!B25</f>
        <v>0</v>
      </c>
      <c r="B63" s="900">
        <f>IFERROR(SUMIF(Energy!$B$16:$B$46,"="&amp;A63,Energy!$R$16:$R$46),"")</f>
        <v>0</v>
      </c>
      <c r="C63" s="901">
        <f>IFERROR(SUMIF(Energy!$B$81:$B$110,"="&amp;A63,Energy!$R$81:$R$110),"")</f>
        <v>0</v>
      </c>
      <c r="D63" s="901">
        <f>IFERROR(SUMIF(Energy!$B$113:$B$142,"="&amp;A63,Energy!$R$113:$R$142),"")</f>
        <v>0</v>
      </c>
      <c r="E63" s="901">
        <f>IFERROR(SUMIF(Energy!$B$145:$B$174,"=" &amp;A63,Energy!$R$145:$R$174),"")</f>
        <v>0</v>
      </c>
      <c r="F63" s="901">
        <f>IFERROR(SUMIF(Energy!$B$177:$B$226,"=" &amp;'Building Totals &amp; Benchmarking'!A63,Energy!$R$177:$R$226),"")</f>
        <v>0</v>
      </c>
      <c r="G63" s="901">
        <f>IFERROR(SUMIF(Energy!$B$229:$B$258,"=" &amp;'Building Totals &amp; Benchmarking'!A63,Energy!$R$229:$R$258),"")</f>
        <v>0</v>
      </c>
      <c r="H63" s="901">
        <f>IFERROR(SUMIF('Vehicle-Fuel'!$A$13:$A$60,"="&amp;A63,'Vehicle-Fuel'!$U$13:$U$60),"")</f>
        <v>0</v>
      </c>
      <c r="I63" s="874" t="s">
        <v>200</v>
      </c>
      <c r="J63" s="874" t="s">
        <v>200</v>
      </c>
      <c r="K63" s="901">
        <f>IFERROR(SUMIF('Anaesthetic gases'!$A$11:$A$54,"="&amp;A63,'Anaesthetic gases'!$R$11:$R$54),"")</f>
        <v>0</v>
      </c>
      <c r="L63" s="900">
        <f ca="1">IFERROR(SUMIF('Refrigerant gases'!$A$12:AA$55,"="&amp;A63,'Refrigerant gases'!$T$12:$T$55),"")</f>
        <v>0</v>
      </c>
      <c r="M63" s="900">
        <f>IFERROR(SUMIF('Water '!$A$14:$A$57,"="&amp;A63,'Water '!$Q$14:$Q$57),"")</f>
        <v>0</v>
      </c>
      <c r="N63" s="900">
        <f>IFERROR(SUMIF(Waste!$A$17:$A$108,"="&amp;A63,Waste!$P$17:$P$108),"")</f>
        <v>0</v>
      </c>
      <c r="O63" s="873" t="s">
        <v>200</v>
      </c>
      <c r="P63" s="905">
        <f t="shared" ca="1" si="2"/>
        <v>0</v>
      </c>
      <c r="R63" s="711"/>
      <c r="S63" s="711"/>
      <c r="T63" s="711"/>
      <c r="U63" s="711"/>
      <c r="V63" s="711"/>
      <c r="W63" s="711"/>
      <c r="X63" s="711"/>
      <c r="Y63" s="711"/>
    </row>
    <row r="64" spans="1:25" x14ac:dyDescent="0.35">
      <c r="A64" s="1247">
        <f>Buildings!B26</f>
        <v>0</v>
      </c>
      <c r="B64" s="900">
        <f>IFERROR(SUMIF(Energy!$B$16:$B$46,"="&amp;A64,Energy!$R$16:$R$46),"")</f>
        <v>0</v>
      </c>
      <c r="C64" s="901">
        <f>IFERROR(SUMIF(Energy!$B$81:$B$110,"="&amp;A64,Energy!$R$81:$R$110),"")</f>
        <v>0</v>
      </c>
      <c r="D64" s="901">
        <f>IFERROR(SUMIF(Energy!$B$113:$B$142,"="&amp;A64,Energy!$R$113:$R$142),"")</f>
        <v>0</v>
      </c>
      <c r="E64" s="901">
        <f>IFERROR(SUMIF(Energy!$B$145:$B$174,"=" &amp;A64,Energy!$R$145:$R$174),"")</f>
        <v>0</v>
      </c>
      <c r="F64" s="901">
        <f>IFERROR(SUMIF(Energy!$B$177:$B$226,"=" &amp;'Building Totals &amp; Benchmarking'!A64,Energy!$R$177:$R$226),"")</f>
        <v>0</v>
      </c>
      <c r="G64" s="901">
        <f>IFERROR(SUMIF(Energy!$B$229:$B$258,"=" &amp;'Building Totals &amp; Benchmarking'!A64,Energy!$R$229:$R$258),"")</f>
        <v>0</v>
      </c>
      <c r="H64" s="901">
        <f>IFERROR(SUMIF('Vehicle-Fuel'!$A$13:$A$60,"="&amp;A64,'Vehicle-Fuel'!$U$13:$U$60),"")</f>
        <v>0</v>
      </c>
      <c r="I64" s="874" t="s">
        <v>200</v>
      </c>
      <c r="J64" s="874" t="s">
        <v>200</v>
      </c>
      <c r="K64" s="901">
        <f>IFERROR(SUMIF('Anaesthetic gases'!$A$11:$A$54,"="&amp;A64,'Anaesthetic gases'!$R$11:$R$54),"")</f>
        <v>0</v>
      </c>
      <c r="L64" s="900">
        <f ca="1">IFERROR(SUMIF('Refrigerant gases'!$A$12:AA$55,"="&amp;A64,'Refrigerant gases'!$T$12:$T$55),"")</f>
        <v>0</v>
      </c>
      <c r="M64" s="900">
        <f>IFERROR(SUMIF('Water '!$A$14:$A$57,"="&amp;A64,'Water '!$Q$14:$Q$57),"")</f>
        <v>0</v>
      </c>
      <c r="N64" s="900">
        <f>IFERROR(SUMIF(Waste!$A$17:$A$108,"="&amp;A64,Waste!$P$17:$P$108),"")</f>
        <v>0</v>
      </c>
      <c r="O64" s="873" t="s">
        <v>200</v>
      </c>
      <c r="P64" s="905">
        <f t="shared" ca="1" si="2"/>
        <v>0</v>
      </c>
      <c r="R64" s="711"/>
      <c r="S64" s="711"/>
      <c r="T64" s="711"/>
      <c r="U64" s="711"/>
      <c r="V64" s="711"/>
      <c r="W64" s="711"/>
      <c r="X64" s="711"/>
      <c r="Y64" s="711"/>
    </row>
    <row r="65" spans="1:25" x14ac:dyDescent="0.35">
      <c r="A65" s="1247">
        <f>Buildings!B27</f>
        <v>0</v>
      </c>
      <c r="B65" s="900">
        <f>IFERROR(SUMIF(Energy!$B$16:$B$46,"="&amp;A65,Energy!$R$16:$R$46),"")</f>
        <v>0</v>
      </c>
      <c r="C65" s="901">
        <f>IFERROR(SUMIF(Energy!$B$81:$B$110,"="&amp;A65,Energy!$R$81:$R$110),"")</f>
        <v>0</v>
      </c>
      <c r="D65" s="901">
        <f>IFERROR(SUMIF(Energy!$B$113:$B$142,"="&amp;A65,Energy!$R$113:$R$142),"")</f>
        <v>0</v>
      </c>
      <c r="E65" s="901">
        <f>IFERROR(SUMIF(Energy!$B$145:$B$174,"=" &amp;A65,Energy!$R$145:$R$174),"")</f>
        <v>0</v>
      </c>
      <c r="F65" s="901">
        <f>IFERROR(SUMIF(Energy!$B$177:$B$226,"=" &amp;'Building Totals &amp; Benchmarking'!A65,Energy!$R$177:$R$226),"")</f>
        <v>0</v>
      </c>
      <c r="G65" s="901">
        <f>IFERROR(SUMIF(Energy!$B$229:$B$258,"=" &amp;'Building Totals &amp; Benchmarking'!A65,Energy!$R$229:$R$258),"")</f>
        <v>0</v>
      </c>
      <c r="H65" s="901">
        <f>IFERROR(SUMIF('Vehicle-Fuel'!$A$13:$A$60,"="&amp;A65,'Vehicle-Fuel'!$U$13:$U$60),"")</f>
        <v>0</v>
      </c>
      <c r="I65" s="874" t="s">
        <v>200</v>
      </c>
      <c r="J65" s="874" t="s">
        <v>200</v>
      </c>
      <c r="K65" s="901">
        <f>IFERROR(SUMIF('Anaesthetic gases'!$A$11:$A$54,"="&amp;A65,'Anaesthetic gases'!$R$11:$R$54),"")</f>
        <v>0</v>
      </c>
      <c r="L65" s="900">
        <f ca="1">IFERROR(SUMIF('Refrigerant gases'!$A$12:AA$55,"="&amp;A65,'Refrigerant gases'!$T$12:$T$55),"")</f>
        <v>0</v>
      </c>
      <c r="M65" s="900">
        <f>IFERROR(SUMIF('Water '!$A$14:$A$57,"="&amp;A65,'Water '!$Q$14:$Q$57),"")</f>
        <v>0</v>
      </c>
      <c r="N65" s="900">
        <f>IFERROR(SUMIF(Waste!$A$17:$A$108,"="&amp;A65,Waste!$P$17:$P$108),"")</f>
        <v>0</v>
      </c>
      <c r="O65" s="873" t="s">
        <v>200</v>
      </c>
      <c r="P65" s="905">
        <f t="shared" ca="1" si="2"/>
        <v>0</v>
      </c>
      <c r="R65" s="711"/>
      <c r="S65" s="711"/>
      <c r="T65" s="711"/>
      <c r="U65" s="711"/>
      <c r="V65" s="711"/>
      <c r="W65" s="711"/>
      <c r="X65" s="711"/>
      <c r="Y65" s="711"/>
    </row>
    <row r="66" spans="1:25" x14ac:dyDescent="0.35">
      <c r="A66" s="1247">
        <f>Buildings!B28</f>
        <v>0</v>
      </c>
      <c r="B66" s="900">
        <f>IFERROR(SUMIF(Energy!$B$16:$B$46,"="&amp;A66,Energy!$R$16:$R$46),"")</f>
        <v>0</v>
      </c>
      <c r="C66" s="901">
        <f>IFERROR(SUMIF(Energy!$B$81:$B$110,"="&amp;A66,Energy!$R$81:$R$110),"")</f>
        <v>0</v>
      </c>
      <c r="D66" s="901">
        <f>IFERROR(SUMIF(Energy!$B$113:$B$142,"="&amp;A66,Energy!$R$113:$R$142),"")</f>
        <v>0</v>
      </c>
      <c r="E66" s="901">
        <f>IFERROR(SUMIF(Energy!$B$145:$B$174,"=" &amp;A66,Energy!$R$145:$R$174),"")</f>
        <v>0</v>
      </c>
      <c r="F66" s="901">
        <f>IFERROR(SUMIF(Energy!$B$177:$B$226,"=" &amp;'Building Totals &amp; Benchmarking'!A66,Energy!$R$177:$R$226),"")</f>
        <v>0</v>
      </c>
      <c r="G66" s="901">
        <f>IFERROR(SUMIF(Energy!$B$229:$B$258,"=" &amp;'Building Totals &amp; Benchmarking'!A66,Energy!$R$229:$R$258),"")</f>
        <v>0</v>
      </c>
      <c r="H66" s="901">
        <f>IFERROR(SUMIF('Vehicle-Fuel'!$A$13:$A$60,"="&amp;A66,'Vehicle-Fuel'!$U$13:$U$60),"")</f>
        <v>0</v>
      </c>
      <c r="I66" s="874" t="s">
        <v>200</v>
      </c>
      <c r="J66" s="874" t="s">
        <v>200</v>
      </c>
      <c r="K66" s="901">
        <f>IFERROR(SUMIF('Anaesthetic gases'!$A$11:$A$54,"="&amp;A66,'Anaesthetic gases'!$R$11:$R$54),"")</f>
        <v>0</v>
      </c>
      <c r="L66" s="900">
        <f ca="1">IFERROR(SUMIF('Refrigerant gases'!$A$12:AA$55,"="&amp;A66,'Refrigerant gases'!$T$12:$T$55),"")</f>
        <v>0</v>
      </c>
      <c r="M66" s="900">
        <f>IFERROR(SUMIF('Water '!$A$14:$A$57,"="&amp;A66,'Water '!$Q$14:$Q$57),"")</f>
        <v>0</v>
      </c>
      <c r="N66" s="900">
        <f>IFERROR(SUMIF(Waste!$A$17:$A$108,"="&amp;A66,Waste!$P$17:$P$108),"")</f>
        <v>0</v>
      </c>
      <c r="O66" s="873" t="s">
        <v>200</v>
      </c>
      <c r="P66" s="905">
        <f t="shared" ca="1" si="2"/>
        <v>0</v>
      </c>
      <c r="R66" s="711"/>
      <c r="S66" s="711"/>
      <c r="T66" s="711"/>
      <c r="U66" s="711"/>
      <c r="V66" s="711"/>
      <c r="W66" s="711"/>
      <c r="X66" s="711"/>
      <c r="Y66" s="711"/>
    </row>
    <row r="67" spans="1:25" x14ac:dyDescent="0.35">
      <c r="A67" s="1247">
        <f>Buildings!B29</f>
        <v>0</v>
      </c>
      <c r="B67" s="900">
        <f>IFERROR(SUMIF(Energy!$B$16:$B$46,"="&amp;A67,Energy!$R$16:$R$46),"")</f>
        <v>0</v>
      </c>
      <c r="C67" s="901">
        <f>IFERROR(SUMIF(Energy!$B$81:$B$110,"="&amp;A67,Energy!$R$81:$R$110),"")</f>
        <v>0</v>
      </c>
      <c r="D67" s="901">
        <f>IFERROR(SUMIF(Energy!$B$113:$B$142,"="&amp;A67,Energy!$R$113:$R$142),"")</f>
        <v>0</v>
      </c>
      <c r="E67" s="901">
        <f>IFERROR(SUMIF(Energy!$B$145:$B$174,"=" &amp;A67,Energy!$R$145:$R$174),"")</f>
        <v>0</v>
      </c>
      <c r="F67" s="901">
        <f>IFERROR(SUMIF(Energy!$B$177:$B$226,"=" &amp;'Building Totals &amp; Benchmarking'!A67,Energy!$R$177:$R$226),"")</f>
        <v>0</v>
      </c>
      <c r="G67" s="901">
        <f>IFERROR(SUMIF(Energy!$B$229:$B$258,"=" &amp;'Building Totals &amp; Benchmarking'!A67,Energy!$R$229:$R$258),"")</f>
        <v>0</v>
      </c>
      <c r="H67" s="901">
        <f>IFERROR(SUMIF('Vehicle-Fuel'!$A$13:$A$60,"="&amp;A67,'Vehicle-Fuel'!$U$13:$U$60),"")</f>
        <v>0</v>
      </c>
      <c r="I67" s="874" t="s">
        <v>200</v>
      </c>
      <c r="J67" s="874" t="s">
        <v>200</v>
      </c>
      <c r="K67" s="901">
        <f>IFERROR(SUMIF('Anaesthetic gases'!$A$11:$A$54,"="&amp;A67,'Anaesthetic gases'!$R$11:$R$54),"")</f>
        <v>0</v>
      </c>
      <c r="L67" s="900">
        <f ca="1">IFERROR(SUMIF('Refrigerant gases'!$A$12:AA$55,"="&amp;A67,'Refrigerant gases'!$T$12:$T$55),"")</f>
        <v>0</v>
      </c>
      <c r="M67" s="900">
        <f>IFERROR(SUMIF('Water '!$A$14:$A$57,"="&amp;A67,'Water '!$Q$14:$Q$57),"")</f>
        <v>0</v>
      </c>
      <c r="N67" s="900">
        <f>IFERROR(SUMIF(Waste!$A$17:$A$108,"="&amp;A67,Waste!$P$17:$P$108),"")</f>
        <v>0</v>
      </c>
      <c r="O67" s="873" t="s">
        <v>200</v>
      </c>
      <c r="P67" s="905">
        <f t="shared" ca="1" si="2"/>
        <v>0</v>
      </c>
      <c r="R67" s="711"/>
      <c r="S67" s="711"/>
      <c r="T67" s="711"/>
      <c r="U67" s="711"/>
      <c r="V67" s="711"/>
      <c r="W67" s="711"/>
      <c r="X67" s="711"/>
      <c r="Y67" s="711"/>
    </row>
    <row r="68" spans="1:25" x14ac:dyDescent="0.35">
      <c r="A68" s="1247">
        <f>Buildings!B30</f>
        <v>0</v>
      </c>
      <c r="B68" s="900">
        <f>IFERROR(SUMIF(Energy!$B$16:$B$46,"="&amp;A68,Energy!$R$16:$R$46),"")</f>
        <v>0</v>
      </c>
      <c r="C68" s="901">
        <f>IFERROR(SUMIF(Energy!$B$81:$B$110,"="&amp;A68,Energy!$R$81:$R$110),"")</f>
        <v>0</v>
      </c>
      <c r="D68" s="901">
        <f>IFERROR(SUMIF(Energy!$B$113:$B$142,"="&amp;A68,Energy!$R$113:$R$142),"")</f>
        <v>0</v>
      </c>
      <c r="E68" s="901">
        <f>IFERROR(SUMIF(Energy!$B$145:$B$174,"=" &amp;A68,Energy!$R$145:$R$174),"")</f>
        <v>0</v>
      </c>
      <c r="F68" s="901">
        <f>IFERROR(SUMIF(Energy!$B$177:$B$226,"=" &amp;'Building Totals &amp; Benchmarking'!A68,Energy!$R$177:$R$226),"")</f>
        <v>0</v>
      </c>
      <c r="G68" s="901">
        <f>IFERROR(SUMIF(Energy!$B$229:$B$258,"=" &amp;'Building Totals &amp; Benchmarking'!A68,Energy!$R$229:$R$258),"")</f>
        <v>0</v>
      </c>
      <c r="H68" s="901">
        <f>IFERROR(SUMIF('Vehicle-Fuel'!$A$13:$A$60,"="&amp;A68,'Vehicle-Fuel'!$U$13:$U$60),"")</f>
        <v>0</v>
      </c>
      <c r="I68" s="874" t="s">
        <v>200</v>
      </c>
      <c r="J68" s="874" t="s">
        <v>200</v>
      </c>
      <c r="K68" s="901">
        <f>IFERROR(SUMIF('Anaesthetic gases'!$A$11:$A$54,"="&amp;A68,'Anaesthetic gases'!$R$11:$R$54),"")</f>
        <v>0</v>
      </c>
      <c r="L68" s="900">
        <f ca="1">IFERROR(SUMIF('Refrigerant gases'!$A$12:AA$55,"="&amp;A68,'Refrigerant gases'!$T$12:$T$55),"")</f>
        <v>0</v>
      </c>
      <c r="M68" s="900">
        <f>IFERROR(SUMIF('Water '!$A$14:$A$57,"="&amp;A68,'Water '!$Q$14:$Q$57),"")</f>
        <v>0</v>
      </c>
      <c r="N68" s="900">
        <f>IFERROR(SUMIF(Waste!$A$17:$A$108,"="&amp;A68,Waste!$P$17:$P$108),"")</f>
        <v>0</v>
      </c>
      <c r="O68" s="873" t="s">
        <v>200</v>
      </c>
      <c r="P68" s="905">
        <f t="shared" ca="1" si="2"/>
        <v>0</v>
      </c>
      <c r="R68" s="711"/>
      <c r="S68" s="711"/>
      <c r="T68" s="711"/>
      <c r="U68" s="711"/>
      <c r="V68" s="711"/>
      <c r="W68" s="711"/>
      <c r="X68" s="711"/>
      <c r="Y68" s="711"/>
    </row>
    <row r="69" spans="1:25" x14ac:dyDescent="0.35">
      <c r="A69" s="1247">
        <f>Buildings!B31</f>
        <v>0</v>
      </c>
      <c r="B69" s="900">
        <f>IFERROR(SUMIF(Energy!$B$16:$B$46,"="&amp;A69,Energy!$R$16:$R$46),"")</f>
        <v>0</v>
      </c>
      <c r="C69" s="901">
        <f>IFERROR(SUMIF(Energy!$B$81:$B$110,"="&amp;A69,Energy!$R$81:$R$110),"")</f>
        <v>0</v>
      </c>
      <c r="D69" s="901">
        <f>IFERROR(SUMIF(Energy!$B$113:$B$142,"="&amp;A69,Energy!$R$113:$R$142),"")</f>
        <v>0</v>
      </c>
      <c r="E69" s="901">
        <f>IFERROR(SUMIF(Energy!$B$145:$B$174,"=" &amp;A69,Energy!$R$145:$R$174),"")</f>
        <v>0</v>
      </c>
      <c r="F69" s="901">
        <f>IFERROR(SUMIF(Energy!$B$177:$B$226,"=" &amp;'Building Totals &amp; Benchmarking'!A69,Energy!$R$177:$R$226),"")</f>
        <v>0</v>
      </c>
      <c r="G69" s="901">
        <f>IFERROR(SUMIF(Energy!$B$229:$B$258,"=" &amp;'Building Totals &amp; Benchmarking'!A69,Energy!$R$229:$R$258),"")</f>
        <v>0</v>
      </c>
      <c r="H69" s="901">
        <f>IFERROR(SUMIF('Vehicle-Fuel'!$A$13:$A$60,"="&amp;A69,'Vehicle-Fuel'!$U$13:$U$60),"")</f>
        <v>0</v>
      </c>
      <c r="I69" s="874" t="s">
        <v>200</v>
      </c>
      <c r="J69" s="874" t="s">
        <v>200</v>
      </c>
      <c r="K69" s="901">
        <f>IFERROR(SUMIF('Anaesthetic gases'!$A$11:$A$54,"="&amp;A69,'Anaesthetic gases'!$R$11:$R$54),"")</f>
        <v>0</v>
      </c>
      <c r="L69" s="900">
        <f ca="1">IFERROR(SUMIF('Refrigerant gases'!$A$12:AA$55,"="&amp;A69,'Refrigerant gases'!$T$12:$T$55),"")</f>
        <v>0</v>
      </c>
      <c r="M69" s="900">
        <f>IFERROR(SUMIF('Water '!$A$14:$A$57,"="&amp;A69,'Water '!$Q$14:$Q$57),"")</f>
        <v>0</v>
      </c>
      <c r="N69" s="900">
        <f>IFERROR(SUMIF(Waste!$A$17:$A$108,"="&amp;A69,Waste!$P$17:$P$108),"")</f>
        <v>0</v>
      </c>
      <c r="O69" s="873" t="s">
        <v>200</v>
      </c>
      <c r="P69" s="905">
        <f t="shared" ca="1" si="2"/>
        <v>0</v>
      </c>
      <c r="R69" s="711"/>
      <c r="S69" s="711"/>
      <c r="T69" s="711"/>
      <c r="U69" s="711"/>
      <c r="V69" s="711"/>
      <c r="W69" s="711"/>
      <c r="X69" s="711"/>
      <c r="Y69" s="711"/>
    </row>
    <row r="70" spans="1:25" x14ac:dyDescent="0.35">
      <c r="A70" s="1247">
        <f>Buildings!B32</f>
        <v>0</v>
      </c>
      <c r="B70" s="900">
        <f>IFERROR(SUMIF(Energy!$B$16:$B$46,"="&amp;A70,Energy!$R$16:$R$46),"")</f>
        <v>0</v>
      </c>
      <c r="C70" s="901">
        <f>IFERROR(SUMIF(Energy!$B$81:$B$110,"="&amp;A70,Energy!$R$81:$R$110),"")</f>
        <v>0</v>
      </c>
      <c r="D70" s="901">
        <f>IFERROR(SUMIF(Energy!$B$113:$B$142,"="&amp;A70,Energy!$R$113:$R$142),"")</f>
        <v>0</v>
      </c>
      <c r="E70" s="901">
        <f>IFERROR(SUMIF(Energy!$B$145:$B$174,"=" &amp;A70,Energy!$R$145:$R$174),"")</f>
        <v>0</v>
      </c>
      <c r="F70" s="901">
        <f>IFERROR(SUMIF(Energy!$B$177:$B$226,"=" &amp;'Building Totals &amp; Benchmarking'!A70,Energy!$R$177:$R$226),"")</f>
        <v>0</v>
      </c>
      <c r="G70" s="901">
        <f>IFERROR(SUMIF(Energy!$B$229:$B$258,"=" &amp;'Building Totals &amp; Benchmarking'!A70,Energy!$R$229:$R$258),"")</f>
        <v>0</v>
      </c>
      <c r="H70" s="901">
        <f>IFERROR(SUMIF('Vehicle-Fuel'!$A$13:$A$60,"="&amp;A70,'Vehicle-Fuel'!$U$13:$U$60),"")</f>
        <v>0</v>
      </c>
      <c r="I70" s="874" t="s">
        <v>200</v>
      </c>
      <c r="J70" s="874" t="s">
        <v>200</v>
      </c>
      <c r="K70" s="901">
        <f>IFERROR(SUMIF('Anaesthetic gases'!$A$11:$A$54,"="&amp;A70,'Anaesthetic gases'!$R$11:$R$54),"")</f>
        <v>0</v>
      </c>
      <c r="L70" s="900">
        <f ca="1">IFERROR(SUMIF('Refrigerant gases'!$A$12:AA$55,"="&amp;A70,'Refrigerant gases'!$T$12:$T$55),"")</f>
        <v>0</v>
      </c>
      <c r="M70" s="900">
        <f>IFERROR(SUMIF('Water '!$A$14:$A$57,"="&amp;A70,'Water '!$Q$14:$Q$57),"")</f>
        <v>0</v>
      </c>
      <c r="N70" s="900">
        <f>IFERROR(SUMIF(Waste!$A$17:$A$108,"="&amp;A70,Waste!$P$17:$P$108),"")</f>
        <v>0</v>
      </c>
      <c r="O70" s="873" t="s">
        <v>200</v>
      </c>
      <c r="P70" s="905">
        <f t="shared" ca="1" si="2"/>
        <v>0</v>
      </c>
      <c r="R70" s="711"/>
      <c r="S70" s="711"/>
      <c r="T70" s="711"/>
      <c r="U70" s="711"/>
      <c r="V70" s="711"/>
      <c r="W70" s="711"/>
      <c r="X70" s="711"/>
      <c r="Y70" s="711"/>
    </row>
    <row r="71" spans="1:25" x14ac:dyDescent="0.35">
      <c r="A71" s="1247">
        <f>Buildings!B33</f>
        <v>0</v>
      </c>
      <c r="B71" s="900">
        <f>IFERROR(SUMIF(Energy!$B$16:$B$46,"="&amp;A71,Energy!$R$16:$R$46),"")</f>
        <v>0</v>
      </c>
      <c r="C71" s="901">
        <f>IFERROR(SUMIF(Energy!$B$81:$B$110,"="&amp;A71,Energy!$R$81:$R$110),"")</f>
        <v>0</v>
      </c>
      <c r="D71" s="901">
        <f>IFERROR(SUMIF(Energy!$B$113:$B$142,"="&amp;A71,Energy!$R$113:$R$142),"")</f>
        <v>0</v>
      </c>
      <c r="E71" s="901">
        <f>IFERROR(SUMIF(Energy!$B$145:$B$174,"=" &amp;A71,Energy!$R$145:$R$174),"")</f>
        <v>0</v>
      </c>
      <c r="F71" s="901">
        <f>IFERROR(SUMIF(Energy!$B$177:$B$226,"=" &amp;'Building Totals &amp; Benchmarking'!A71,Energy!$R$177:$R$226),"")</f>
        <v>0</v>
      </c>
      <c r="G71" s="901">
        <f>IFERROR(SUMIF(Energy!$B$229:$B$258,"=" &amp;'Building Totals &amp; Benchmarking'!A71,Energy!$R$229:$R$258),"")</f>
        <v>0</v>
      </c>
      <c r="H71" s="901">
        <f>IFERROR(SUMIF('Vehicle-Fuel'!$A$13:$A$60,"="&amp;A71,'Vehicle-Fuel'!$U$13:$U$60),"")</f>
        <v>0</v>
      </c>
      <c r="I71" s="874" t="s">
        <v>200</v>
      </c>
      <c r="J71" s="874" t="s">
        <v>200</v>
      </c>
      <c r="K71" s="901">
        <f>IFERROR(SUMIF('Anaesthetic gases'!$A$11:$A$54,"="&amp;A71,'Anaesthetic gases'!$R$11:$R$54),"")</f>
        <v>0</v>
      </c>
      <c r="L71" s="900">
        <f ca="1">IFERROR(SUMIF('Refrigerant gases'!$A$12:AA$55,"="&amp;A71,'Refrigerant gases'!$T$12:$T$55),"")</f>
        <v>0</v>
      </c>
      <c r="M71" s="900">
        <f>IFERROR(SUMIF('Water '!$A$14:$A$57,"="&amp;A71,'Water '!$Q$14:$Q$57),"")</f>
        <v>0</v>
      </c>
      <c r="N71" s="900">
        <f>IFERROR(SUMIF(Waste!$A$17:$A$108,"="&amp;A71,Waste!$P$17:$P$108),"")</f>
        <v>0</v>
      </c>
      <c r="O71" s="873" t="s">
        <v>200</v>
      </c>
      <c r="P71" s="905">
        <f t="shared" ca="1" si="2"/>
        <v>0</v>
      </c>
      <c r="R71" s="711"/>
      <c r="S71" s="711"/>
      <c r="T71" s="711"/>
      <c r="U71" s="711"/>
      <c r="V71" s="711"/>
      <c r="W71" s="711"/>
      <c r="X71" s="711"/>
      <c r="Y71" s="711"/>
    </row>
    <row r="72" spans="1:25" x14ac:dyDescent="0.35">
      <c r="A72" s="1247">
        <f>Buildings!B34</f>
        <v>0</v>
      </c>
      <c r="B72" s="900">
        <f>IFERROR(SUMIF(Energy!$B$16:$B$46,"="&amp;A72,Energy!$R$16:$R$46),"")</f>
        <v>0</v>
      </c>
      <c r="C72" s="901">
        <f>IFERROR(SUMIF(Energy!$B$81:$B$110,"="&amp;A72,Energy!$R$81:$R$110),"")</f>
        <v>0</v>
      </c>
      <c r="D72" s="901">
        <f>IFERROR(SUMIF(Energy!$B$113:$B$142,"="&amp;A72,Energy!$R$113:$R$142),"")</f>
        <v>0</v>
      </c>
      <c r="E72" s="901">
        <f>IFERROR(SUMIF(Energy!$B$145:$B$174,"=" &amp;A72,Energy!$R$145:$R$174),"")</f>
        <v>0</v>
      </c>
      <c r="F72" s="901">
        <f>IFERROR(SUMIF(Energy!$B$177:$B$226,"=" &amp;'Building Totals &amp; Benchmarking'!A72,Energy!$R$177:$R$226),"")</f>
        <v>0</v>
      </c>
      <c r="G72" s="901">
        <f>IFERROR(SUMIF(Energy!$B$229:$B$258,"=" &amp;'Building Totals &amp; Benchmarking'!A72,Energy!$R$229:$R$258),"")</f>
        <v>0</v>
      </c>
      <c r="H72" s="901">
        <f>IFERROR(SUMIF('Vehicle-Fuel'!$A$13:$A$60,"="&amp;A72,'Vehicle-Fuel'!$U$13:$U$60),"")</f>
        <v>0</v>
      </c>
      <c r="I72" s="874" t="s">
        <v>200</v>
      </c>
      <c r="J72" s="874" t="s">
        <v>200</v>
      </c>
      <c r="K72" s="901">
        <f>IFERROR(SUMIF('Anaesthetic gases'!$A$11:$A$54,"="&amp;A72,'Anaesthetic gases'!$R$11:$R$54),"")</f>
        <v>0</v>
      </c>
      <c r="L72" s="900">
        <f ca="1">IFERROR(SUMIF('Refrigerant gases'!$A$12:AA$55,"="&amp;A72,'Refrigerant gases'!$T$12:$T$55),"")</f>
        <v>0</v>
      </c>
      <c r="M72" s="900">
        <f>IFERROR(SUMIF('Water '!$A$14:$A$57,"="&amp;A72,'Water '!$Q$14:$Q$57),"")</f>
        <v>0</v>
      </c>
      <c r="N72" s="900">
        <f>IFERROR(SUMIF(Waste!$A$17:$A$108,"="&amp;A72,Waste!$P$17:$P$108),"")</f>
        <v>0</v>
      </c>
      <c r="O72" s="873" t="s">
        <v>200</v>
      </c>
      <c r="P72" s="905">
        <f t="shared" ca="1" si="2"/>
        <v>0</v>
      </c>
      <c r="R72" s="711"/>
      <c r="S72" s="711"/>
      <c r="T72" s="711"/>
      <c r="U72" s="711"/>
      <c r="V72" s="711"/>
      <c r="W72" s="711"/>
      <c r="X72" s="711"/>
      <c r="Y72" s="711"/>
    </row>
    <row r="73" spans="1:25" x14ac:dyDescent="0.35">
      <c r="A73" s="1247">
        <f>Buildings!B35</f>
        <v>0</v>
      </c>
      <c r="B73" s="900">
        <f>IFERROR(SUMIF(Energy!$B$16:$B$46,"="&amp;A73,Energy!$R$16:$R$46),"")</f>
        <v>0</v>
      </c>
      <c r="C73" s="901">
        <f>IFERROR(SUMIF(Energy!$B$81:$B$110,"="&amp;A73,Energy!$R$81:$R$110),"")</f>
        <v>0</v>
      </c>
      <c r="D73" s="901">
        <f>IFERROR(SUMIF(Energy!$B$113:$B$142,"="&amp;A73,Energy!$R$113:$R$142),"")</f>
        <v>0</v>
      </c>
      <c r="E73" s="901">
        <f>IFERROR(SUMIF(Energy!$B$145:$B$174,"=" &amp;A73,Energy!$R$145:$R$174),"")</f>
        <v>0</v>
      </c>
      <c r="F73" s="901">
        <f>IFERROR(SUMIF(Energy!$B$177:$B$226,"=" &amp;'Building Totals &amp; Benchmarking'!A73,Energy!$R$177:$R$226),"")</f>
        <v>0</v>
      </c>
      <c r="G73" s="901">
        <f>IFERROR(SUMIF(Energy!$B$229:$B$258,"=" &amp;'Building Totals &amp; Benchmarking'!A73,Energy!$R$229:$R$258),"")</f>
        <v>0</v>
      </c>
      <c r="H73" s="901">
        <f>IFERROR(SUMIF('Vehicle-Fuel'!$A$13:$A$60,"="&amp;A73,'Vehicle-Fuel'!$U$13:$U$60),"")</f>
        <v>0</v>
      </c>
      <c r="I73" s="874" t="s">
        <v>200</v>
      </c>
      <c r="J73" s="874" t="s">
        <v>200</v>
      </c>
      <c r="K73" s="901">
        <f>IFERROR(SUMIF('Anaesthetic gases'!$A$11:$A$54,"="&amp;A73,'Anaesthetic gases'!$R$11:$R$54),"")</f>
        <v>0</v>
      </c>
      <c r="L73" s="900">
        <f ca="1">IFERROR(SUMIF('Refrigerant gases'!$A$12:AA$55,"="&amp;A73,'Refrigerant gases'!$T$12:$T$55),"")</f>
        <v>0</v>
      </c>
      <c r="M73" s="900">
        <f>IFERROR(SUMIF('Water '!$A$14:$A$57,"="&amp;A73,'Water '!$Q$14:$Q$57),"")</f>
        <v>0</v>
      </c>
      <c r="N73" s="900">
        <f>IFERROR(SUMIF(Waste!$A$17:$A$108,"="&amp;A73,Waste!$P$17:$P$108),"")</f>
        <v>0</v>
      </c>
      <c r="O73" s="873" t="s">
        <v>200</v>
      </c>
      <c r="P73" s="905">
        <f t="shared" ca="1" si="2"/>
        <v>0</v>
      </c>
      <c r="R73" s="711"/>
      <c r="S73" s="711"/>
      <c r="T73" s="711"/>
      <c r="U73" s="711"/>
      <c r="V73" s="711"/>
      <c r="W73" s="711"/>
      <c r="X73" s="711"/>
      <c r="Y73" s="711"/>
    </row>
    <row r="74" spans="1:25" x14ac:dyDescent="0.35">
      <c r="A74" s="1247">
        <f>Buildings!B36</f>
        <v>0</v>
      </c>
      <c r="B74" s="900">
        <f>IFERROR(SUMIF(Energy!$B$16:$B$46,"="&amp;A74,Energy!$R$16:$R$46),"")</f>
        <v>0</v>
      </c>
      <c r="C74" s="901">
        <f>IFERROR(SUMIF(Energy!$B$81:$B$110,"="&amp;A74,Energy!$R$81:$R$110),"")</f>
        <v>0</v>
      </c>
      <c r="D74" s="901">
        <f>IFERROR(SUMIF(Energy!$B$113:$B$142,"="&amp;A74,Energy!$R$113:$R$142),"")</f>
        <v>0</v>
      </c>
      <c r="E74" s="901">
        <f>IFERROR(SUMIF(Energy!$B$145:$B$174,"=" &amp;A74,Energy!$R$145:$R$174),"")</f>
        <v>0</v>
      </c>
      <c r="F74" s="901">
        <f>IFERROR(SUMIF(Energy!$B$177:$B$226,"=" &amp;'Building Totals &amp; Benchmarking'!A74,Energy!$R$177:$R$226),"")</f>
        <v>0</v>
      </c>
      <c r="G74" s="901">
        <f>IFERROR(SUMIF(Energy!$B$229:$B$258,"=" &amp;'Building Totals &amp; Benchmarking'!A74,Energy!$R$229:$R$258),"")</f>
        <v>0</v>
      </c>
      <c r="H74" s="901">
        <f>IFERROR(SUMIF('Vehicle-Fuel'!$A$13:$A$60,"="&amp;A74,'Vehicle-Fuel'!$U$13:$U$60),"")</f>
        <v>0</v>
      </c>
      <c r="I74" s="874" t="s">
        <v>200</v>
      </c>
      <c r="J74" s="874" t="s">
        <v>200</v>
      </c>
      <c r="K74" s="901">
        <f>IFERROR(SUMIF('Anaesthetic gases'!$A$11:$A$54,"="&amp;A74,'Anaesthetic gases'!$R$11:$R$54),"")</f>
        <v>0</v>
      </c>
      <c r="L74" s="900">
        <f ca="1">IFERROR(SUMIF('Refrigerant gases'!$A$12:AA$55,"="&amp;A74,'Refrigerant gases'!$T$12:$T$55),"")</f>
        <v>0</v>
      </c>
      <c r="M74" s="900">
        <f>IFERROR(SUMIF('Water '!$A$14:$A$57,"="&amp;A74,'Water '!$Q$14:$Q$57),"")</f>
        <v>0</v>
      </c>
      <c r="N74" s="900">
        <f>IFERROR(SUMIF(Waste!$A$17:$A$108,"="&amp;A74,Waste!$P$17:$P$108),"")</f>
        <v>0</v>
      </c>
      <c r="O74" s="873" t="s">
        <v>200</v>
      </c>
      <c r="P74" s="905">
        <f t="shared" ca="1" si="2"/>
        <v>0</v>
      </c>
      <c r="R74" s="711"/>
      <c r="S74" s="711"/>
      <c r="T74" s="711"/>
      <c r="U74" s="711"/>
      <c r="V74" s="711"/>
      <c r="W74" s="711"/>
      <c r="X74" s="711"/>
      <c r="Y74" s="711"/>
    </row>
    <row r="75" spans="1:25" x14ac:dyDescent="0.35">
      <c r="A75" s="1247">
        <f>Buildings!B37</f>
        <v>0</v>
      </c>
      <c r="B75" s="900">
        <f>IFERROR(SUMIF(Energy!$B$16:$B$46,"="&amp;A75,Energy!$R$16:$R$46),"")</f>
        <v>0</v>
      </c>
      <c r="C75" s="901">
        <f>IFERROR(SUMIF(Energy!$B$81:$B$110,"="&amp;A75,Energy!$R$81:$R$110),"")</f>
        <v>0</v>
      </c>
      <c r="D75" s="901">
        <f>IFERROR(SUMIF(Energy!$B$113:$B$142,"="&amp;A75,Energy!$R$113:$R$142),"")</f>
        <v>0</v>
      </c>
      <c r="E75" s="901">
        <f>IFERROR(SUMIF(Energy!$B$145:$B$174,"=" &amp;A75,Energy!$R$145:$R$174),"")</f>
        <v>0</v>
      </c>
      <c r="F75" s="901">
        <f>IFERROR(SUMIF(Energy!$B$177:$B$226,"=" &amp;'Building Totals &amp; Benchmarking'!A75,Energy!$R$177:$R$226),"")</f>
        <v>0</v>
      </c>
      <c r="G75" s="901">
        <f>IFERROR(SUMIF(Energy!$B$229:$B$258,"=" &amp;'Building Totals &amp; Benchmarking'!A75,Energy!$R$229:$R$258),"")</f>
        <v>0</v>
      </c>
      <c r="H75" s="901">
        <f>IFERROR(SUMIF('Vehicle-Fuel'!$A$13:$A$60,"="&amp;A75,'Vehicle-Fuel'!$U$13:$U$60),"")</f>
        <v>0</v>
      </c>
      <c r="I75" s="874" t="s">
        <v>200</v>
      </c>
      <c r="J75" s="874" t="s">
        <v>200</v>
      </c>
      <c r="K75" s="901">
        <f>IFERROR(SUMIF('Anaesthetic gases'!$A$11:$A$54,"="&amp;A75,'Anaesthetic gases'!$R$11:$R$54),"")</f>
        <v>0</v>
      </c>
      <c r="L75" s="900">
        <f ca="1">IFERROR(SUMIF('Refrigerant gases'!$A$12:AA$55,"="&amp;A75,'Refrigerant gases'!$T$12:$T$55),"")</f>
        <v>0</v>
      </c>
      <c r="M75" s="900">
        <f>IFERROR(SUMIF('Water '!$A$14:$A$57,"="&amp;A75,'Water '!$Q$14:$Q$57),"")</f>
        <v>0</v>
      </c>
      <c r="N75" s="900">
        <f>IFERROR(SUMIF(Waste!$A$17:$A$108,"="&amp;A75,Waste!$P$17:$P$108),"")</f>
        <v>0</v>
      </c>
      <c r="O75" s="873" t="s">
        <v>200</v>
      </c>
      <c r="P75" s="905">
        <f t="shared" ca="1" si="2"/>
        <v>0</v>
      </c>
      <c r="R75" s="711"/>
      <c r="S75" s="711"/>
      <c r="T75" s="711"/>
      <c r="U75" s="711"/>
      <c r="V75" s="711"/>
      <c r="W75" s="711"/>
      <c r="X75" s="711"/>
      <c r="Y75" s="711"/>
    </row>
    <row r="76" spans="1:25" x14ac:dyDescent="0.35">
      <c r="A76" s="1247">
        <f>Buildings!B38</f>
        <v>0</v>
      </c>
      <c r="B76" s="900">
        <f>IFERROR(SUMIF(Energy!$B$16:$B$46,"="&amp;A76,Energy!$R$16:$R$46),"")</f>
        <v>0</v>
      </c>
      <c r="C76" s="901">
        <f>IFERROR(SUMIF(Energy!$B$81:$B$110,"="&amp;A76,Energy!$R$81:$R$110),"")</f>
        <v>0</v>
      </c>
      <c r="D76" s="901">
        <f>IFERROR(SUMIF(Energy!$B$113:$B$142,"="&amp;A76,Energy!$R$113:$R$142),"")</f>
        <v>0</v>
      </c>
      <c r="E76" s="901">
        <f>IFERROR(SUMIF(Energy!$B$145:$B$174,"=" &amp;A76,Energy!$R$145:$R$174),"")</f>
        <v>0</v>
      </c>
      <c r="F76" s="901">
        <f>IFERROR(SUMIF(Energy!$B$177:$B$226,"=" &amp;'Building Totals &amp; Benchmarking'!A76,Energy!$R$177:$R$226),"")</f>
        <v>0</v>
      </c>
      <c r="G76" s="901">
        <f>IFERROR(SUMIF(Energy!$B$229:$B$258,"=" &amp;'Building Totals &amp; Benchmarking'!A76,Energy!$R$229:$R$258),"")</f>
        <v>0</v>
      </c>
      <c r="H76" s="901">
        <f>IFERROR(SUMIF('Vehicle-Fuel'!$A$13:$A$60,"="&amp;A76,'Vehicle-Fuel'!$U$13:$U$60),"")</f>
        <v>0</v>
      </c>
      <c r="I76" s="874" t="s">
        <v>200</v>
      </c>
      <c r="J76" s="874" t="s">
        <v>200</v>
      </c>
      <c r="K76" s="901">
        <f>IFERROR(SUMIF('Anaesthetic gases'!$A$11:$A$54,"="&amp;A76,'Anaesthetic gases'!$R$11:$R$54),"")</f>
        <v>0</v>
      </c>
      <c r="L76" s="900">
        <f ca="1">IFERROR(SUMIF('Refrigerant gases'!$A$12:AA$55,"="&amp;A76,'Refrigerant gases'!$T$12:$T$55),"")</f>
        <v>0</v>
      </c>
      <c r="M76" s="900">
        <f>IFERROR(SUMIF('Water '!$A$14:$A$57,"="&amp;A76,'Water '!$Q$14:$Q$57),"")</f>
        <v>0</v>
      </c>
      <c r="N76" s="900">
        <f>IFERROR(SUMIF(Waste!$A$17:$A$108,"="&amp;A76,Waste!$P$17:$P$108),"")</f>
        <v>0</v>
      </c>
      <c r="O76" s="873" t="s">
        <v>200</v>
      </c>
      <c r="P76" s="905">
        <f t="shared" ca="1" si="2"/>
        <v>0</v>
      </c>
      <c r="R76" s="711"/>
      <c r="S76" s="711"/>
      <c r="T76" s="711"/>
      <c r="U76" s="711"/>
      <c r="V76" s="711"/>
      <c r="W76" s="711"/>
      <c r="X76" s="711"/>
      <c r="Y76" s="711"/>
    </row>
    <row r="77" spans="1:25" x14ac:dyDescent="0.35">
      <c r="A77" s="1247">
        <f>Buildings!B39</f>
        <v>0</v>
      </c>
      <c r="B77" s="900">
        <f>IFERROR(SUMIF(Energy!$B$16:$B$46,"="&amp;A77,Energy!$R$16:$R$46),"")</f>
        <v>0</v>
      </c>
      <c r="C77" s="901">
        <f>IFERROR(SUMIF(Energy!$B$81:$B$110,"="&amp;A77,Energy!$R$81:$R$110),"")</f>
        <v>0</v>
      </c>
      <c r="D77" s="901">
        <f>IFERROR(SUMIF(Energy!$B$113:$B$142,"="&amp;A77,Energy!$R$113:$R$142),"")</f>
        <v>0</v>
      </c>
      <c r="E77" s="901">
        <f>IFERROR(SUMIF(Energy!$B$145:$B$174,"=" &amp;A77,Energy!$R$145:$R$174),"")</f>
        <v>0</v>
      </c>
      <c r="F77" s="901">
        <f>IFERROR(SUMIF(Energy!$B$177:$B$226,"=" &amp;'Building Totals &amp; Benchmarking'!A77,Energy!$R$177:$R$226),"")</f>
        <v>0</v>
      </c>
      <c r="G77" s="901">
        <f>IFERROR(SUMIF(Energy!$B$229:$B$258,"=" &amp;'Building Totals &amp; Benchmarking'!A77,Energy!$R$229:$R$258),"")</f>
        <v>0</v>
      </c>
      <c r="H77" s="901">
        <f>IFERROR(SUMIF('Vehicle-Fuel'!$A$13:$A$60,"="&amp;A77,'Vehicle-Fuel'!$U$13:$U$60),"")</f>
        <v>0</v>
      </c>
      <c r="I77" s="874" t="s">
        <v>200</v>
      </c>
      <c r="J77" s="874" t="s">
        <v>200</v>
      </c>
      <c r="K77" s="901">
        <f>IFERROR(SUMIF('Anaesthetic gases'!$A$11:$A$54,"="&amp;A77,'Anaesthetic gases'!$R$11:$R$54),"")</f>
        <v>0</v>
      </c>
      <c r="L77" s="900">
        <f ca="1">IFERROR(SUMIF('Refrigerant gases'!$A$12:AA$55,"="&amp;A77,'Refrigerant gases'!$T$12:$T$55),"")</f>
        <v>0</v>
      </c>
      <c r="M77" s="900">
        <f>IFERROR(SUMIF('Water '!$A$14:$A$57,"="&amp;A77,'Water '!$Q$14:$Q$57),"")</f>
        <v>0</v>
      </c>
      <c r="N77" s="900">
        <f>IFERROR(SUMIF(Waste!$A$17:$A$108,"="&amp;A77,Waste!$P$17:$P$108),"")</f>
        <v>0</v>
      </c>
      <c r="O77" s="873" t="s">
        <v>200</v>
      </c>
      <c r="P77" s="905">
        <f t="shared" ca="1" si="2"/>
        <v>0</v>
      </c>
      <c r="R77" s="711"/>
      <c r="S77" s="711"/>
      <c r="T77" s="711"/>
      <c r="U77" s="711"/>
      <c r="V77" s="711"/>
      <c r="W77" s="711"/>
      <c r="X77" s="711"/>
      <c r="Y77" s="711"/>
    </row>
    <row r="78" spans="1:25" x14ac:dyDescent="0.35">
      <c r="A78" s="1247">
        <f>Buildings!B40</f>
        <v>0</v>
      </c>
      <c r="B78" s="900">
        <f>IFERROR(SUMIF(Energy!$B$16:$B$46,"="&amp;A78,Energy!$R$16:$R$46),"")</f>
        <v>0</v>
      </c>
      <c r="C78" s="901">
        <f>IFERROR(SUMIF(Energy!$B$81:$B$110,"="&amp;A78,Energy!$R$81:$R$110),"")</f>
        <v>0</v>
      </c>
      <c r="D78" s="901">
        <f>IFERROR(SUMIF(Energy!$B$113:$B$142,"="&amp;A78,Energy!$R$113:$R$142),"")</f>
        <v>0</v>
      </c>
      <c r="E78" s="901">
        <f>IFERROR(SUMIF(Energy!$B$145:$B$174,"=" &amp;A78,Energy!$R$145:$R$174),"")</f>
        <v>0</v>
      </c>
      <c r="F78" s="901">
        <f>IFERROR(SUMIF(Energy!$B$177:$B$226,"=" &amp;'Building Totals &amp; Benchmarking'!A78,Energy!$R$177:$R$226),"")</f>
        <v>0</v>
      </c>
      <c r="G78" s="901">
        <f>IFERROR(SUMIF(Energy!$B$229:$B$258,"=" &amp;'Building Totals &amp; Benchmarking'!A78,Energy!$R$229:$R$258),"")</f>
        <v>0</v>
      </c>
      <c r="H78" s="901">
        <f>IFERROR(SUMIF('Vehicle-Fuel'!$A$13:$A$60,"="&amp;A78,'Vehicle-Fuel'!$U$13:$U$60),"")</f>
        <v>0</v>
      </c>
      <c r="I78" s="874" t="s">
        <v>200</v>
      </c>
      <c r="J78" s="874" t="s">
        <v>200</v>
      </c>
      <c r="K78" s="901">
        <f>IFERROR(SUMIF('Anaesthetic gases'!$A$11:$A$54,"="&amp;A78,'Anaesthetic gases'!$R$11:$R$54),"")</f>
        <v>0</v>
      </c>
      <c r="L78" s="900">
        <f ca="1">IFERROR(SUMIF('Refrigerant gases'!$A$12:AA$55,"="&amp;A78,'Refrigerant gases'!$T$12:$T$55),"")</f>
        <v>0</v>
      </c>
      <c r="M78" s="900">
        <f>IFERROR(SUMIF('Water '!$A$14:$A$57,"="&amp;A78,'Water '!$Q$14:$Q$57),"")</f>
        <v>0</v>
      </c>
      <c r="N78" s="900">
        <f>IFERROR(SUMIF(Waste!$A$17:$A$108,"="&amp;A78,Waste!$P$17:$P$108),"")</f>
        <v>0</v>
      </c>
      <c r="O78" s="873" t="s">
        <v>200</v>
      </c>
      <c r="P78" s="905">
        <f t="shared" ca="1" si="2"/>
        <v>0</v>
      </c>
      <c r="R78" s="711"/>
      <c r="S78" s="711"/>
      <c r="T78" s="711"/>
      <c r="U78" s="711"/>
      <c r="V78" s="711"/>
      <c r="W78" s="711"/>
      <c r="X78" s="711"/>
      <c r="Y78" s="711"/>
    </row>
    <row r="79" spans="1:25" ht="15" thickBot="1" x14ac:dyDescent="0.4">
      <c r="A79" s="1247">
        <f>Buildings!B41</f>
        <v>0</v>
      </c>
      <c r="B79" s="900">
        <f>IFERROR(SUMIF(Energy!$B$16:$B$46,"="&amp;A79,Energy!$R$16:$R$46),"")</f>
        <v>0</v>
      </c>
      <c r="C79" s="901">
        <f>IFERROR(SUMIF(Energy!$B$81:$B$110,"="&amp;A79,Energy!$R$81:$R$110),"")</f>
        <v>0</v>
      </c>
      <c r="D79" s="901">
        <f>IFERROR(SUMIF(Energy!$B$113:$B$142,"="&amp;A79,Energy!$R$113:$R$142),"")</f>
        <v>0</v>
      </c>
      <c r="E79" s="901">
        <f>IFERROR(SUMIF(Energy!$B$145:$B$174,"=" &amp;A79,Energy!$R$145:$R$174),"")</f>
        <v>0</v>
      </c>
      <c r="F79" s="901">
        <f>IFERROR(SUMIF(Energy!$B$177:$B$226,"=" &amp;'Building Totals &amp; Benchmarking'!A79,Energy!$R$177:$R$226),"")</f>
        <v>0</v>
      </c>
      <c r="G79" s="901">
        <f>IFERROR(SUMIF(Energy!$B$229:$B$258,"=" &amp;'Building Totals &amp; Benchmarking'!A79,Energy!$R$229:$R$258),"")</f>
        <v>0</v>
      </c>
      <c r="H79" s="901">
        <f>IFERROR(SUMIF('Vehicle-Fuel'!$A$13:$A$60,"="&amp;A79,'Vehicle-Fuel'!$U$13:$U$60),"")</f>
        <v>0</v>
      </c>
      <c r="I79" s="874" t="s">
        <v>200</v>
      </c>
      <c r="J79" s="874" t="s">
        <v>200</v>
      </c>
      <c r="K79" s="901">
        <f>IFERROR(SUMIF('Anaesthetic gases'!$A$11:$A$54,"="&amp;A79,'Anaesthetic gases'!$R$11:$R$54),"")</f>
        <v>0</v>
      </c>
      <c r="L79" s="900">
        <f ca="1">IFERROR(SUMIF('Refrigerant gases'!$A$12:AA$55,"="&amp;A79,'Refrigerant gases'!$T$12:$T$55),"")</f>
        <v>0</v>
      </c>
      <c r="M79" s="900">
        <f>IFERROR(SUMIF('Water '!$A$14:$A$57,"="&amp;A79,'Water '!$Q$14:$Q$57),"")</f>
        <v>0</v>
      </c>
      <c r="N79" s="900">
        <f>IFERROR(SUMIF(Waste!$A$17:$A$108,"="&amp;A79,Waste!$P$17:$P$108),"")</f>
        <v>0</v>
      </c>
      <c r="O79" s="873" t="s">
        <v>200</v>
      </c>
      <c r="P79" s="905">
        <f t="shared" ca="1" si="2"/>
        <v>0</v>
      </c>
      <c r="R79" s="711"/>
      <c r="S79" s="711"/>
      <c r="T79" s="711"/>
      <c r="U79" s="711"/>
      <c r="V79" s="711"/>
      <c r="W79" s="711"/>
      <c r="X79" s="711"/>
      <c r="Y79" s="711"/>
    </row>
    <row r="80" spans="1:25" ht="15" thickBot="1" x14ac:dyDescent="0.4">
      <c r="A80" s="1248" t="s">
        <v>268</v>
      </c>
      <c r="B80" s="907">
        <f>SUM(B47:B79)</f>
        <v>0</v>
      </c>
      <c r="C80" s="908">
        <f t="shared" ref="C80:P80" si="3">SUM(C47:C79)</f>
        <v>0</v>
      </c>
      <c r="D80" s="908">
        <f t="shared" si="3"/>
        <v>0</v>
      </c>
      <c r="E80" s="908">
        <f t="shared" si="3"/>
        <v>0</v>
      </c>
      <c r="F80" s="908">
        <f t="shared" si="3"/>
        <v>0</v>
      </c>
      <c r="G80" s="908">
        <f t="shared" si="3"/>
        <v>0</v>
      </c>
      <c r="H80" s="908">
        <f t="shared" si="3"/>
        <v>0</v>
      </c>
      <c r="I80" s="908">
        <f t="shared" si="3"/>
        <v>0</v>
      </c>
      <c r="J80" s="908">
        <f t="shared" si="3"/>
        <v>0</v>
      </c>
      <c r="K80" s="908">
        <f t="shared" si="3"/>
        <v>0</v>
      </c>
      <c r="L80" s="908">
        <f t="shared" ca="1" si="3"/>
        <v>0</v>
      </c>
      <c r="M80" s="908">
        <f t="shared" si="3"/>
        <v>0</v>
      </c>
      <c r="N80" s="908">
        <f t="shared" si="3"/>
        <v>0</v>
      </c>
      <c r="O80" s="908">
        <f t="shared" si="3"/>
        <v>0</v>
      </c>
      <c r="P80" s="906">
        <f t="shared" ca="1" si="3"/>
        <v>0</v>
      </c>
      <c r="R80" s="711"/>
      <c r="S80" s="711"/>
      <c r="T80" s="711"/>
      <c r="U80" s="711"/>
      <c r="V80" s="711"/>
      <c r="W80" s="711"/>
      <c r="X80" s="711"/>
      <c r="Y80" s="711"/>
    </row>
    <row r="82" spans="1:10" ht="15" thickBot="1" x14ac:dyDescent="0.4"/>
    <row r="83" spans="1:10" ht="15" thickBot="1" x14ac:dyDescent="0.4">
      <c r="B83" s="1694" t="s">
        <v>269</v>
      </c>
      <c r="C83" s="1695"/>
      <c r="D83" s="1695"/>
      <c r="E83" s="1695"/>
      <c r="F83" s="1695"/>
      <c r="G83" s="1695"/>
      <c r="H83" s="1695"/>
      <c r="I83" s="1696"/>
      <c r="J83" s="847"/>
    </row>
    <row r="84" spans="1:10" ht="36" customHeight="1" thickBot="1" x14ac:dyDescent="0.4">
      <c r="A84" s="856" t="s">
        <v>246</v>
      </c>
      <c r="B84" s="857" t="s">
        <v>247</v>
      </c>
      <c r="C84" s="857" t="s">
        <v>248</v>
      </c>
      <c r="D84" s="857" t="s">
        <v>249</v>
      </c>
      <c r="E84" s="857" t="s">
        <v>250</v>
      </c>
      <c r="F84" s="857" t="s">
        <v>251</v>
      </c>
      <c r="G84" s="857" t="s">
        <v>252</v>
      </c>
      <c r="H84" s="857" t="s">
        <v>257</v>
      </c>
      <c r="I84" s="858" t="s">
        <v>270</v>
      </c>
    </row>
    <row r="85" spans="1:10" x14ac:dyDescent="0.35">
      <c r="A85" s="1247" t="str">
        <f>Buildings!B9</f>
        <v>Several sites</v>
      </c>
      <c r="B85" s="900" t="str">
        <f>IFERROR((SUMIF(Energy!$B$16:$B$46,"="&amp;A85,Energy!$O$16:$O$46))/(VLOOKUP(A85, Buildings!$B$12:$L$41,11,0)),"")</f>
        <v/>
      </c>
      <c r="C85" s="900" t="str">
        <f>IFERROR((SUMIF(Energy!$B$81:$B$110,"="&amp;A85,Energy!$O$81:$O$110))/(VLOOKUP(A85, Buildings!$B$12:$L$41,11,0)),"")</f>
        <v/>
      </c>
      <c r="D85" s="900" t="str">
        <f>IFERROR((SUMIF(Energy!$B$113:$B$142,"="&amp;A85,Energy!$O$113:$O$142))/(VLOOKUP(A85, Buildings!$B$12:$L$41,11,0)),"")</f>
        <v/>
      </c>
      <c r="E85" s="900" t="str">
        <f>IFERROR((SUMIF(Energy!$B$145:$B$174,"="&amp;A85,Energy!$O$145:$O$174))/(VLOOKUP(A85, Buildings!$B$12:$L$41,11,0)),"")</f>
        <v/>
      </c>
      <c r="F85" s="900" t="str">
        <f>IFERROR((SUMIF(Energy!$B$177:$B$226,"="&amp;A85,Energy!$O$177:$O$226))/(VLOOKUP(A85, Buildings!$B$12:$L$41,11,0)),"")</f>
        <v/>
      </c>
      <c r="G85" s="900" t="str">
        <f>IFERROR((SUMIF(Energy!$B$229:$B$258,"="&amp;A85,Energy!$O$229:$O$258))/(VLOOKUP(A85, Buildings!$B$12:$L$41,11,0)),"")</f>
        <v/>
      </c>
      <c r="H85" s="901" t="str">
        <f>IFERROR(SUMIF('Refrigerant gases'!$A$12:$A$55,"="&amp;A85,'Refrigerant gases'!$P$12:$P$55)/(VLOOKUP(A85, Buildings!$B$12:$L$41,11,0)),"")</f>
        <v/>
      </c>
      <c r="I85" s="904">
        <f>IFERROR(SUM(B85:H85),"")</f>
        <v>0</v>
      </c>
    </row>
    <row r="86" spans="1:10" x14ac:dyDescent="0.35">
      <c r="A86" s="1247" t="str">
        <f>Buildings!B10</f>
        <v>Across all sites</v>
      </c>
      <c r="B86" s="901" t="str">
        <f>IFERROR((SUMIF(Energy!$B$16:$B$46,"="&amp;A86,Energy!$O$16:$O$46))/(VLOOKUP(A86, Buildings!$B$12:$L$41,11,0)),"")</f>
        <v/>
      </c>
      <c r="C86" s="901" t="str">
        <f>IFERROR((SUMIF(Energy!$B$81:$B$110,"="&amp;A86,Energy!$O$81:$O$110))/(VLOOKUP(A86, Buildings!$B$12:$L$41,11,0)),"")</f>
        <v/>
      </c>
      <c r="D86" s="901" t="str">
        <f>IFERROR((SUMIF(Energy!$B$113:$B$142,"="&amp;A86,Energy!$O$113:$O$142))/(VLOOKUP(A86, Buildings!$B$12:$L$41,11,0)),"")</f>
        <v/>
      </c>
      <c r="E86" s="901" t="str">
        <f>IFERROR((SUMIF(Energy!$B$145:$B$174,"="&amp;A86,Energy!$O$145:$O$174))/(VLOOKUP(A86, Buildings!$B$12:$L$41,11,0)),"")</f>
        <v/>
      </c>
      <c r="F86" s="901" t="str">
        <f>IFERROR((SUMIF(Energy!$B$177:$B$226,"="&amp;A86,Energy!$O$177:$O$226))/(VLOOKUP(A86, Buildings!$B$12:$L$41,11,0)),"")</f>
        <v/>
      </c>
      <c r="G86" s="901" t="str">
        <f>IFERROR((SUMIF(Energy!$B$229:$B$258,"="&amp;A86,Energy!$O$229:$O$258))/(VLOOKUP(A86, Buildings!$B$12:$L$41,11,0)),"")</f>
        <v/>
      </c>
      <c r="H86" s="901" t="str">
        <f>IFERROR(SUMIF('Refrigerant gases'!$A$12:$A$55,"="&amp;A86,'Refrigerant gases'!$P$12:$P$55)/(VLOOKUP(A86, Buildings!$B$12:$L$41,11,0)),"")</f>
        <v/>
      </c>
      <c r="I86" s="904">
        <f t="shared" ref="I86:I117" si="4">IFERROR(SUM(B86:H86),"")</f>
        <v>0</v>
      </c>
    </row>
    <row r="87" spans="1:10" x14ac:dyDescent="0.35">
      <c r="A87" s="1247" t="str">
        <f>Buildings!B11</f>
        <v>Not linked to a site</v>
      </c>
      <c r="B87" s="901" t="str">
        <f>IFERROR((SUMIF(Energy!$B$16:$B$46,"="&amp;A87,Energy!$O$16:$O$46))/(VLOOKUP(A87, Buildings!$B$12:$L$41,11,0)),"")</f>
        <v/>
      </c>
      <c r="C87" s="901" t="str">
        <f>IFERROR((SUMIF(Energy!$B$81:$B$110,"="&amp;A87,Energy!$O$81:$O$110))/(VLOOKUP(A87, Buildings!$B$12:$L$41,11,0)),"")</f>
        <v/>
      </c>
      <c r="D87" s="901" t="str">
        <f>IFERROR((SUMIF(Energy!$B$113:$B$142,"="&amp;A87,Energy!$O$113:$O$142))/(VLOOKUP(A87, Buildings!$B$12:$L$41,11,0)),"")</f>
        <v/>
      </c>
      <c r="E87" s="901" t="str">
        <f>IFERROR((SUMIF(Energy!$B$145:$B$174,"="&amp;A87,Energy!$O$145:$O$174))/(VLOOKUP(A87, Buildings!$B$12:$L$41,11,0)),"")</f>
        <v/>
      </c>
      <c r="F87" s="901" t="str">
        <f>IFERROR((SUMIF(Energy!$B$177:$B$226,"="&amp;A87,Energy!$O$177:$O$226))/(VLOOKUP(A87, Buildings!$B$12:$L$41,11,0)),"")</f>
        <v/>
      </c>
      <c r="G87" s="901" t="str">
        <f>IFERROR((SUMIF(Energy!$B$229:$B$258,"="&amp;A87,Energy!$O$229:$O$258))/(VLOOKUP(A87, Buildings!$B$12:$L$41,11,0)),"")</f>
        <v/>
      </c>
      <c r="H87" s="901" t="str">
        <f>IFERROR(SUMIF('Refrigerant gases'!$A$12:$A$55,"="&amp;A87,'Refrigerant gases'!$P$12:$P$55)/(VLOOKUP(A87, Buildings!$B$12:$L$41,11,0)),"")</f>
        <v/>
      </c>
      <c r="I87" s="904">
        <f t="shared" si="4"/>
        <v>0</v>
      </c>
    </row>
    <row r="88" spans="1:10" x14ac:dyDescent="0.35">
      <c r="A88" s="1247" t="str">
        <f>Buildings!B12</f>
        <v>Laudium</v>
      </c>
      <c r="B88" s="901">
        <f>IFERROR((SUMIF(Energy!$B$16:$B$46,"="&amp;A88,Energy!$O$16:$O$46))/(VLOOKUP(A88, Buildings!$B$12:$L$41,11,0)),"")</f>
        <v>0</v>
      </c>
      <c r="C88" s="901">
        <f>IFERROR((SUMIF(Energy!$B$81:$B$110,"="&amp;A88,Energy!$O$81:$O$110))/(VLOOKUP(A88, Buildings!$B$12:$L$41,11,0)),"")</f>
        <v>0</v>
      </c>
      <c r="D88" s="901">
        <f>IFERROR((SUMIF(Energy!$B$113:$B$142,"="&amp;A88,Energy!$O$113:$O$142))/(VLOOKUP(A88, Buildings!$B$12:$L$41,11,0)),"")</f>
        <v>0</v>
      </c>
      <c r="E88" s="901">
        <f>IFERROR((SUMIF(Energy!$B$145:$B$174,"="&amp;A88,Energy!$O$145:$O$174))/(VLOOKUP(A88, Buildings!$B$12:$L$41,11,0)),"")</f>
        <v>0</v>
      </c>
      <c r="F88" s="901">
        <f>IFERROR((SUMIF(Energy!$B$177:$B$226,"="&amp;A88,Energy!$O$177:$O$226))/(VLOOKUP(A88, Buildings!$B$12:$L$41,11,0)),"")</f>
        <v>1.1031040000000001</v>
      </c>
      <c r="G88" s="901">
        <f>IFERROR((SUMIF(Energy!$B$229:$B$258,"="&amp;A88,Energy!$O$229:$O$258))/(VLOOKUP(A88, Buildings!$B$12:$L$41,11,0)),"")</f>
        <v>0</v>
      </c>
      <c r="H88" s="901">
        <f>IFERROR(SUMIF('Refrigerant gases'!$A$12:$A$55,"="&amp;A88,'Refrigerant gases'!$P$12:$P$55)/(VLOOKUP(A88, Buildings!$B$12:$L$41,11,0)),"")</f>
        <v>1.38</v>
      </c>
      <c r="I88" s="904">
        <f t="shared" si="4"/>
        <v>2.483104</v>
      </c>
    </row>
    <row r="89" spans="1:10" x14ac:dyDescent="0.35">
      <c r="A89" s="1247" t="str">
        <f>Buildings!B13</f>
        <v>Stanza</v>
      </c>
      <c r="B89" s="901">
        <f>IFERROR((SUMIF(Energy!$B$16:$B$46,"="&amp;A89,Energy!$O$16:$O$46))/(VLOOKUP(A89, Buildings!$B$12:$L$41,11,0)),"")</f>
        <v>0</v>
      </c>
      <c r="C89" s="901">
        <f>IFERROR((SUMIF(Energy!$B$81:$B$110,"="&amp;A89,Energy!$O$81:$O$110))/(VLOOKUP(A89, Buildings!$B$12:$L$41,11,0)),"")</f>
        <v>0</v>
      </c>
      <c r="D89" s="901">
        <f>IFERROR((SUMIF(Energy!$B$113:$B$142,"="&amp;A89,Energy!$O$113:$O$142))/(VLOOKUP(A89, Buildings!$B$12:$L$41,11,0)),"")</f>
        <v>0</v>
      </c>
      <c r="E89" s="901">
        <f>IFERROR((SUMIF(Energy!$B$145:$B$174,"="&amp;A89,Energy!$O$145:$O$174))/(VLOOKUP(A89, Buildings!$B$12:$L$41,11,0)),"")</f>
        <v>0</v>
      </c>
      <c r="F89" s="901">
        <f>IFERROR((SUMIF(Energy!$B$177:$B$226,"="&amp;A89,Energy!$O$177:$O$226))/(VLOOKUP(A89, Buildings!$B$12:$L$41,11,0)),"")</f>
        <v>0</v>
      </c>
      <c r="G89" s="901">
        <f>IFERROR((SUMIF(Energy!$B$229:$B$258,"="&amp;A89,Energy!$O$229:$O$258))/(VLOOKUP(A89, Buildings!$B$12:$L$41,11,0)),"")</f>
        <v>0</v>
      </c>
      <c r="H89" s="901">
        <f>IFERROR(SUMIF('Refrigerant gases'!$A$12:$A$55,"="&amp;A89,'Refrigerant gases'!$P$12:$P$55)/(VLOOKUP(A89, Buildings!$B$12:$L$41,11,0)),"")</f>
        <v>0</v>
      </c>
      <c r="I89" s="904">
        <f t="shared" si="4"/>
        <v>0</v>
      </c>
    </row>
    <row r="90" spans="1:10" x14ac:dyDescent="0.35">
      <c r="A90" s="1247">
        <f>Buildings!B14</f>
        <v>0</v>
      </c>
      <c r="B90" s="901" t="str">
        <f>IFERROR((SUMIF(Energy!$B$16:$B$46,"="&amp;A90,Energy!$O$16:$O$46))/(VLOOKUP(A90, Buildings!$B$12:$L$41,11,0)),"")</f>
        <v/>
      </c>
      <c r="C90" s="901" t="str">
        <f>IFERROR((SUMIF(Energy!$B$81:$B$110,"="&amp;A90,Energy!$O$81:$O$110))/(VLOOKUP(A90, Buildings!$B$12:$L$41,11,0)),"")</f>
        <v/>
      </c>
      <c r="D90" s="901" t="str">
        <f>IFERROR((SUMIF(Energy!$B$113:$B$142,"="&amp;A90,Energy!$O$113:$O$142))/(VLOOKUP(A90, Buildings!$B$12:$L$41,11,0)),"")</f>
        <v/>
      </c>
      <c r="E90" s="901" t="str">
        <f>IFERROR((SUMIF(Energy!$B$145:$B$174,"="&amp;A90,Energy!$O$145:$O$174))/(VLOOKUP(A90, Buildings!$B$12:$L$41,11,0)),"")</f>
        <v/>
      </c>
      <c r="F90" s="901" t="str">
        <f>IFERROR((SUMIF(Energy!$B$177:$B$226,"="&amp;A90,Energy!$O$177:$O$226))/(VLOOKUP(A90, Buildings!$B$12:$L$41,11,0)),"")</f>
        <v/>
      </c>
      <c r="G90" s="901" t="str">
        <f>IFERROR((SUMIF(Energy!$B$229:$B$258,"="&amp;A90,Energy!$O$229:$O$258))/(VLOOKUP(A90, Buildings!$B$12:$L$41,11,0)),"")</f>
        <v/>
      </c>
      <c r="H90" s="901" t="str">
        <f>IFERROR(SUMIF('Refrigerant gases'!$A$12:$A$55,"="&amp;A90,'Refrigerant gases'!$P$12:$P$55)/(VLOOKUP(A90, Buildings!$B$12:$L$41,11,0)),"")</f>
        <v/>
      </c>
      <c r="I90" s="904">
        <f t="shared" si="4"/>
        <v>0</v>
      </c>
    </row>
    <row r="91" spans="1:10" x14ac:dyDescent="0.35">
      <c r="A91" s="1247">
        <f>Buildings!B15</f>
        <v>0</v>
      </c>
      <c r="B91" s="901" t="str">
        <f>IFERROR((SUMIF(Energy!$B$16:$B$46,"="&amp;A91,Energy!$O$16:$O$46))/(VLOOKUP(A91, Buildings!$B$12:$L$41,11,0)),"")</f>
        <v/>
      </c>
      <c r="C91" s="901" t="str">
        <f>IFERROR((SUMIF(Energy!$B$81:$B$110,"="&amp;A91,Energy!$O$81:$O$110))/(VLOOKUP(A91, Buildings!$B$12:$L$41,11,0)),"")</f>
        <v/>
      </c>
      <c r="D91" s="901" t="str">
        <f>IFERROR((SUMIF(Energy!$B$113:$B$142,"="&amp;A91,Energy!$O$113:$O$142))/(VLOOKUP(A91, Buildings!$B$12:$L$41,11,0)),"")</f>
        <v/>
      </c>
      <c r="E91" s="901" t="str">
        <f>IFERROR((SUMIF(Energy!$B$145:$B$174,"="&amp;A91,Energy!$O$145:$O$174))/(VLOOKUP(A91, Buildings!$B$12:$L$41,11,0)),"")</f>
        <v/>
      </c>
      <c r="F91" s="901" t="str">
        <f>IFERROR((SUMIF(Energy!$B$177:$B$226,"="&amp;A91,Energy!$O$177:$O$226))/(VLOOKUP(A91, Buildings!$B$12:$L$41,11,0)),"")</f>
        <v/>
      </c>
      <c r="G91" s="901" t="str">
        <f>IFERROR((SUMIF(Energy!$B$229:$B$258,"="&amp;A91,Energy!$O$229:$O$258))/(VLOOKUP(A91, Buildings!$B$12:$L$41,11,0)),"")</f>
        <v/>
      </c>
      <c r="H91" s="901" t="str">
        <f>IFERROR(SUMIF('Refrigerant gases'!$A$12:$A$55,"="&amp;A91,'Refrigerant gases'!$P$12:$P$55)/(VLOOKUP(A91, Buildings!$B$12:$L$41,11,0)),"")</f>
        <v/>
      </c>
      <c r="I91" s="904">
        <f t="shared" si="4"/>
        <v>0</v>
      </c>
    </row>
    <row r="92" spans="1:10" x14ac:dyDescent="0.35">
      <c r="A92" s="1247">
        <f>Buildings!B16</f>
        <v>0</v>
      </c>
      <c r="B92" s="901" t="str">
        <f>IFERROR((SUMIF(Energy!$B$16:$B$46,"="&amp;A92,Energy!$O$16:$O$46))/(VLOOKUP(A92, Buildings!$B$12:$L$41,11,0)),"")</f>
        <v/>
      </c>
      <c r="C92" s="901" t="str">
        <f>IFERROR((SUMIF(Energy!$B$81:$B$110,"="&amp;A92,Energy!$O$81:$O$110))/(VLOOKUP(A92, Buildings!$B$12:$L$41,11,0)),"")</f>
        <v/>
      </c>
      <c r="D92" s="901" t="str">
        <f>IFERROR((SUMIF(Energy!$B$113:$B$142,"="&amp;A92,Energy!$O$113:$O$142))/(VLOOKUP(A92, Buildings!$B$12:$L$41,11,0)),"")</f>
        <v/>
      </c>
      <c r="E92" s="901" t="str">
        <f>IFERROR((SUMIF(Energy!$B$145:$B$174,"="&amp;A92,Energy!$O$145:$O$174))/(VLOOKUP(A92, Buildings!$B$12:$L$41,11,0)),"")</f>
        <v/>
      </c>
      <c r="F92" s="901" t="str">
        <f>IFERROR((SUMIF(Energy!$B$177:$B$226,"="&amp;A92,Energy!$O$177:$O$226))/(VLOOKUP(A92, Buildings!$B$12:$L$41,11,0)),"")</f>
        <v/>
      </c>
      <c r="G92" s="901" t="str">
        <f>IFERROR((SUMIF(Energy!$B$229:$B$258,"="&amp;A92,Energy!$O$229:$O$258))/(VLOOKUP(A92, Buildings!$B$12:$L$41,11,0)),"")</f>
        <v/>
      </c>
      <c r="H92" s="901" t="str">
        <f>IFERROR(SUMIF('Refrigerant gases'!$A$12:$A$55,"="&amp;A92,'Refrigerant gases'!$P$12:$P$55)/(VLOOKUP(A92, Buildings!$B$12:$L$41,11,0)),"")</f>
        <v/>
      </c>
      <c r="I92" s="904">
        <f t="shared" si="4"/>
        <v>0</v>
      </c>
    </row>
    <row r="93" spans="1:10" x14ac:dyDescent="0.35">
      <c r="A93" s="1247">
        <f>Buildings!B17</f>
        <v>0</v>
      </c>
      <c r="B93" s="901" t="str">
        <f>IFERROR((SUMIF(Energy!$B$16:$B$46,"="&amp;A93,Energy!$O$16:$O$46))/(VLOOKUP(A93, Buildings!$B$12:$L$41,11,0)),"")</f>
        <v/>
      </c>
      <c r="C93" s="901" t="str">
        <f>IFERROR((SUMIF(Energy!$B$81:$B$110,"="&amp;A93,Energy!$O$81:$O$110))/(VLOOKUP(A93, Buildings!$B$12:$L$41,11,0)),"")</f>
        <v/>
      </c>
      <c r="D93" s="901" t="str">
        <f>IFERROR((SUMIF(Energy!$B$113:$B$142,"="&amp;A93,Energy!$O$113:$O$142))/(VLOOKUP(A93, Buildings!$B$12:$L$41,11,0)),"")</f>
        <v/>
      </c>
      <c r="E93" s="901" t="str">
        <f>IFERROR((SUMIF(Energy!$B$145:$B$174,"="&amp;A93,Energy!$O$145:$O$174))/(VLOOKUP(A93, Buildings!$B$12:$L$41,11,0)),"")</f>
        <v/>
      </c>
      <c r="F93" s="901" t="str">
        <f>IFERROR((SUMIF(Energy!$B$177:$B$226,"="&amp;A93,Energy!$O$177:$O$226))/(VLOOKUP(A93, Buildings!$B$12:$L$41,11,0)),"")</f>
        <v/>
      </c>
      <c r="G93" s="901" t="str">
        <f>IFERROR((SUMIF(Energy!$B$229:$B$258,"="&amp;A93,Energy!$O$229:$O$258))/(VLOOKUP(A93, Buildings!$B$12:$L$41,11,0)),"")</f>
        <v/>
      </c>
      <c r="H93" s="901" t="str">
        <f>IFERROR(SUMIF('Refrigerant gases'!$A$12:$A$55,"="&amp;A93,'Refrigerant gases'!$P$12:$P$55)/(VLOOKUP(A93, Buildings!$B$12:$L$41,11,0)),"")</f>
        <v/>
      </c>
      <c r="I93" s="904">
        <f t="shared" si="4"/>
        <v>0</v>
      </c>
    </row>
    <row r="94" spans="1:10" x14ac:dyDescent="0.35">
      <c r="A94" s="1247">
        <f>Buildings!B18</f>
        <v>0</v>
      </c>
      <c r="B94" s="901" t="str">
        <f>IFERROR((SUMIF(Energy!$B$16:$B$46,"="&amp;A94,Energy!$O$16:$O$46))/(VLOOKUP(A94, Buildings!$B$12:$L$41,11,0)),"")</f>
        <v/>
      </c>
      <c r="C94" s="901" t="str">
        <f>IFERROR((SUMIF(Energy!$B$81:$B$110,"="&amp;A94,Energy!$O$81:$O$110))/(VLOOKUP(A94, Buildings!$B$12:$L$41,11,0)),"")</f>
        <v/>
      </c>
      <c r="D94" s="901" t="str">
        <f>IFERROR((SUMIF(Energy!$B$113:$B$142,"="&amp;A94,Energy!$O$113:$O$142))/(VLOOKUP(A94, Buildings!$B$12:$L$41,11,0)),"")</f>
        <v/>
      </c>
      <c r="E94" s="901" t="str">
        <f>IFERROR((SUMIF(Energy!$B$145:$B$174,"="&amp;A94,Energy!$O$145:$O$174))/(VLOOKUP(A94, Buildings!$B$12:$L$41,11,0)),"")</f>
        <v/>
      </c>
      <c r="F94" s="901" t="str">
        <f>IFERROR((SUMIF(Energy!$B$177:$B$226,"="&amp;A94,Energy!$O$177:$O$226))/(VLOOKUP(A94, Buildings!$B$12:$L$41,11,0)),"")</f>
        <v/>
      </c>
      <c r="G94" s="901" t="str">
        <f>IFERROR((SUMIF(Energy!$B$229:$B$258,"="&amp;A94,Energy!$O$229:$O$258))/(VLOOKUP(A94, Buildings!$B$12:$L$41,11,0)),"")</f>
        <v/>
      </c>
      <c r="H94" s="901" t="str">
        <f>IFERROR(SUMIF('Refrigerant gases'!$A$12:$A$55,"="&amp;A94,'Refrigerant gases'!$P$12:$P$55)/(VLOOKUP(A94, Buildings!$B$12:$L$41,11,0)),"")</f>
        <v/>
      </c>
      <c r="I94" s="904">
        <f t="shared" si="4"/>
        <v>0</v>
      </c>
    </row>
    <row r="95" spans="1:10" x14ac:dyDescent="0.35">
      <c r="A95" s="1247">
        <f>Buildings!B19</f>
        <v>0</v>
      </c>
      <c r="B95" s="901" t="str">
        <f>IFERROR((SUMIF(Energy!$B$16:$B$46,"="&amp;A95,Energy!$O$16:$O$46))/(VLOOKUP(A95, Buildings!$B$12:$L$41,11,0)),"")</f>
        <v/>
      </c>
      <c r="C95" s="901" t="str">
        <f>IFERROR((SUMIF(Energy!$B$81:$B$110,"="&amp;A95,Energy!$O$81:$O$110))/(VLOOKUP(A95, Buildings!$B$12:$L$41,11,0)),"")</f>
        <v/>
      </c>
      <c r="D95" s="901" t="str">
        <f>IFERROR((SUMIF(Energy!$B$113:$B$142,"="&amp;A95,Energy!$O$113:$O$142))/(VLOOKUP(A95, Buildings!$B$12:$L$41,11,0)),"")</f>
        <v/>
      </c>
      <c r="E95" s="901" t="str">
        <f>IFERROR((SUMIF(Energy!$B$145:$B$174,"="&amp;A95,Energy!$O$145:$O$174))/(VLOOKUP(A95, Buildings!$B$12:$L$41,11,0)),"")</f>
        <v/>
      </c>
      <c r="F95" s="901" t="str">
        <f>IFERROR((SUMIF(Energy!$B$177:$B$226,"="&amp;A95,Energy!$O$177:$O$226))/(VLOOKUP(A95, Buildings!$B$12:$L$41,11,0)),"")</f>
        <v/>
      </c>
      <c r="G95" s="901" t="str">
        <f>IFERROR((SUMIF(Energy!$B$229:$B$258,"="&amp;A95,Energy!$O$229:$O$258))/(VLOOKUP(A95, Buildings!$B$12:$L$41,11,0)),"")</f>
        <v/>
      </c>
      <c r="H95" s="901" t="str">
        <f>IFERROR(SUMIF('Refrigerant gases'!$A$12:$A$55,"="&amp;A95,'Refrigerant gases'!$P$12:$P$55)/(VLOOKUP(A95, Buildings!$B$12:$L$41,11,0)),"")</f>
        <v/>
      </c>
      <c r="I95" s="904">
        <f t="shared" si="4"/>
        <v>0</v>
      </c>
    </row>
    <row r="96" spans="1:10" x14ac:dyDescent="0.35">
      <c r="A96" s="1247">
        <f>Buildings!B20</f>
        <v>0</v>
      </c>
      <c r="B96" s="901" t="str">
        <f>IFERROR((SUMIF(Energy!$B$16:$B$46,"="&amp;A96,Energy!$O$16:$O$46))/(VLOOKUP(A96, Buildings!$B$12:$L$41,11,0)),"")</f>
        <v/>
      </c>
      <c r="C96" s="901" t="str">
        <f>IFERROR((SUMIF(Energy!$B$81:$B$110,"="&amp;A96,Energy!$O$81:$O$110))/(VLOOKUP(A96, Buildings!$B$12:$L$41,11,0)),"")</f>
        <v/>
      </c>
      <c r="D96" s="901" t="str">
        <f>IFERROR((SUMIF(Energy!$B$113:$B$142,"="&amp;A96,Energy!$O$113:$O$142))/(VLOOKUP(A96, Buildings!$B$12:$L$41,11,0)),"")</f>
        <v/>
      </c>
      <c r="E96" s="901" t="str">
        <f>IFERROR((SUMIF(Energy!$B$145:$B$174,"="&amp;A96,Energy!$O$145:$O$174))/(VLOOKUP(A96, Buildings!$B$12:$L$41,11,0)),"")</f>
        <v/>
      </c>
      <c r="F96" s="901" t="str">
        <f>IFERROR((SUMIF(Energy!$B$177:$B$226,"="&amp;A96,Energy!$O$177:$O$226))/(VLOOKUP(A96, Buildings!$B$12:$L$41,11,0)),"")</f>
        <v/>
      </c>
      <c r="G96" s="901" t="str">
        <f>IFERROR((SUMIF(Energy!$B$229:$B$258,"="&amp;A96,Energy!$O$229:$O$258))/(VLOOKUP(A96, Buildings!$B$12:$L$41,11,0)),"")</f>
        <v/>
      </c>
      <c r="H96" s="901" t="str">
        <f>IFERROR(SUMIF('Refrigerant gases'!$A$12:$A$55,"="&amp;A96,'Refrigerant gases'!$P$12:$P$55)/(VLOOKUP(A96, Buildings!$B$12:$L$41,11,0)),"")</f>
        <v/>
      </c>
      <c r="I96" s="904">
        <f t="shared" si="4"/>
        <v>0</v>
      </c>
    </row>
    <row r="97" spans="1:9" x14ac:dyDescent="0.35">
      <c r="A97" s="1247">
        <f>Buildings!B21</f>
        <v>0</v>
      </c>
      <c r="B97" s="901" t="str">
        <f>IFERROR((SUMIF(Energy!$B$16:$B$46,"="&amp;A97,Energy!$O$16:$O$46))/(VLOOKUP(A97, Buildings!$B$12:$L$41,11,0)),"")</f>
        <v/>
      </c>
      <c r="C97" s="901" t="str">
        <f>IFERROR((SUMIF(Energy!$B$81:$B$110,"="&amp;A97,Energy!$O$81:$O$110))/(VLOOKUP(A97, Buildings!$B$12:$L$41,11,0)),"")</f>
        <v/>
      </c>
      <c r="D97" s="901" t="str">
        <f>IFERROR((SUMIF(Energy!$B$113:$B$142,"="&amp;A97,Energy!$O$113:$O$142))/(VLOOKUP(A97, Buildings!$B$12:$L$41,11,0)),"")</f>
        <v/>
      </c>
      <c r="E97" s="901" t="str">
        <f>IFERROR((SUMIF(Energy!$B$145:$B$174,"="&amp;A97,Energy!$O$145:$O$174))/(VLOOKUP(A97, Buildings!$B$12:$L$41,11,0)),"")</f>
        <v/>
      </c>
      <c r="F97" s="901" t="str">
        <f>IFERROR((SUMIF(Energy!$B$177:$B$226,"="&amp;A97,Energy!$O$177:$O$226))/(VLOOKUP(A97, Buildings!$B$12:$L$41,11,0)),"")</f>
        <v/>
      </c>
      <c r="G97" s="901" t="str">
        <f>IFERROR((SUMIF(Energy!$B$229:$B$258,"="&amp;A97,Energy!$O$229:$O$258))/(VLOOKUP(A97, Buildings!$B$12:$L$41,11,0)),"")</f>
        <v/>
      </c>
      <c r="H97" s="901" t="str">
        <f>IFERROR(SUMIF('Refrigerant gases'!$A$12:$A$55,"="&amp;A97,'Refrigerant gases'!$P$12:$P$55)/(VLOOKUP(A97, Buildings!$B$12:$L$41,11,0)),"")</f>
        <v/>
      </c>
      <c r="I97" s="904">
        <f t="shared" si="4"/>
        <v>0</v>
      </c>
    </row>
    <row r="98" spans="1:9" x14ac:dyDescent="0.35">
      <c r="A98" s="1247">
        <f>Buildings!B22</f>
        <v>0</v>
      </c>
      <c r="B98" s="901" t="str">
        <f>IFERROR((SUMIF(Energy!$B$16:$B$46,"="&amp;A98,Energy!$O$16:$O$46))/(VLOOKUP(A98, Buildings!$B$12:$L$41,11,0)),"")</f>
        <v/>
      </c>
      <c r="C98" s="901" t="str">
        <f>IFERROR((SUMIF(Energy!$B$81:$B$110,"="&amp;A98,Energy!$O$81:$O$110))/(VLOOKUP(A98, Buildings!$B$12:$L$41,11,0)),"")</f>
        <v/>
      </c>
      <c r="D98" s="901" t="str">
        <f>IFERROR((SUMIF(Energy!$B$113:$B$142,"="&amp;A98,Energy!$O$113:$O$142))/(VLOOKUP(A98, Buildings!$B$12:$L$41,11,0)),"")</f>
        <v/>
      </c>
      <c r="E98" s="901" t="str">
        <f>IFERROR((SUMIF(Energy!$B$145:$B$174,"="&amp;A98,Energy!$O$145:$O$174))/(VLOOKUP(A98, Buildings!$B$12:$L$41,11,0)),"")</f>
        <v/>
      </c>
      <c r="F98" s="901" t="str">
        <f>IFERROR((SUMIF(Energy!$B$177:$B$226,"="&amp;A98,Energy!$O$177:$O$226))/(VLOOKUP(A98, Buildings!$B$12:$L$41,11,0)),"")</f>
        <v/>
      </c>
      <c r="G98" s="901" t="str">
        <f>IFERROR((SUMIF(Energy!$B$229:$B$258,"="&amp;A98,Energy!$O$229:$O$258))/(VLOOKUP(A98, Buildings!$B$12:$L$41,11,0)),"")</f>
        <v/>
      </c>
      <c r="H98" s="901" t="str">
        <f>IFERROR(SUMIF('Refrigerant gases'!$A$12:$A$55,"="&amp;A98,'Refrigerant gases'!$P$12:$P$55)/(VLOOKUP(A98, Buildings!$B$12:$L$41,11,0)),"")</f>
        <v/>
      </c>
      <c r="I98" s="904">
        <f t="shared" si="4"/>
        <v>0</v>
      </c>
    </row>
    <row r="99" spans="1:9" x14ac:dyDescent="0.35">
      <c r="A99" s="1247">
        <f>Buildings!B23</f>
        <v>0</v>
      </c>
      <c r="B99" s="901" t="str">
        <f>IFERROR((SUMIF(Energy!$B$16:$B$46,"="&amp;A99,Energy!$O$16:$O$46))/(VLOOKUP(A99, Buildings!$B$12:$L$41,11,0)),"")</f>
        <v/>
      </c>
      <c r="C99" s="901" t="str">
        <f>IFERROR((SUMIF(Energy!$B$81:$B$110,"="&amp;A99,Energy!$O$81:$O$110))/(VLOOKUP(A99, Buildings!$B$12:$L$41,11,0)),"")</f>
        <v/>
      </c>
      <c r="D99" s="901" t="str">
        <f>IFERROR((SUMIF(Energy!$B$113:$B$142,"="&amp;A99,Energy!$O$113:$O$142))/(VLOOKUP(A99, Buildings!$B$12:$L$41,11,0)),"")</f>
        <v/>
      </c>
      <c r="E99" s="901" t="str">
        <f>IFERROR((SUMIF(Energy!$B$145:$B$174,"="&amp;A99,Energy!$O$145:$O$174))/(VLOOKUP(A99, Buildings!$B$12:$L$41,11,0)),"")</f>
        <v/>
      </c>
      <c r="F99" s="901" t="str">
        <f>IFERROR((SUMIF(Energy!$B$177:$B$226,"="&amp;A99,Energy!$O$177:$O$226))/(VLOOKUP(A99, Buildings!$B$12:$L$41,11,0)),"")</f>
        <v/>
      </c>
      <c r="G99" s="901" t="str">
        <f>IFERROR((SUMIF(Energy!$B$229:$B$258,"="&amp;A99,Energy!$O$229:$O$258))/(VLOOKUP(A99, Buildings!$B$12:$L$41,11,0)),"")</f>
        <v/>
      </c>
      <c r="H99" s="901" t="str">
        <f>IFERROR(SUMIF('Refrigerant gases'!$A$12:$A$55,"="&amp;A99,'Refrigerant gases'!$P$12:$P$55)/(VLOOKUP(A99, Buildings!$B$12:$L$41,11,0)),"")</f>
        <v/>
      </c>
      <c r="I99" s="904">
        <f t="shared" si="4"/>
        <v>0</v>
      </c>
    </row>
    <row r="100" spans="1:9" x14ac:dyDescent="0.35">
      <c r="A100" s="1247">
        <f>Buildings!B24</f>
        <v>0</v>
      </c>
      <c r="B100" s="901" t="str">
        <f>IFERROR((SUMIF(Energy!$B$16:$B$46,"="&amp;A100,Energy!$O$16:$O$46))/(VLOOKUP(A100, Buildings!$B$12:$L$41,11,0)),"")</f>
        <v/>
      </c>
      <c r="C100" s="901" t="str">
        <f>IFERROR((SUMIF(Energy!$B$81:$B$110,"="&amp;A100,Energy!$O$81:$O$110))/(VLOOKUP(A100, Buildings!$B$12:$L$41,11,0)),"")</f>
        <v/>
      </c>
      <c r="D100" s="901" t="str">
        <f>IFERROR((SUMIF(Energy!$B$113:$B$142,"="&amp;A100,Energy!$O$113:$O$142))/(VLOOKUP(A100, Buildings!$B$12:$L$41,11,0)),"")</f>
        <v/>
      </c>
      <c r="E100" s="901" t="str">
        <f>IFERROR((SUMIF(Energy!$B$145:$B$174,"="&amp;A100,Energy!$O$145:$O$174))/(VLOOKUP(A100, Buildings!$B$12:$L$41,11,0)),"")</f>
        <v/>
      </c>
      <c r="F100" s="901" t="str">
        <f>IFERROR((SUMIF(Energy!$B$177:$B$226,"="&amp;A100,Energy!$O$177:$O$226))/(VLOOKUP(A100, Buildings!$B$12:$L$41,11,0)),"")</f>
        <v/>
      </c>
      <c r="G100" s="901" t="str">
        <f>IFERROR((SUMIF(Energy!$B$229:$B$258,"="&amp;A100,Energy!$O$229:$O$258))/(VLOOKUP(A100, Buildings!$B$12:$L$41,11,0)),"")</f>
        <v/>
      </c>
      <c r="H100" s="901" t="str">
        <f>IFERROR(SUMIF('Refrigerant gases'!$A$12:$A$55,"="&amp;A100,'Refrigerant gases'!$P$12:$P$55)/(VLOOKUP(A100, Buildings!$B$12:$L$41,11,0)),"")</f>
        <v/>
      </c>
      <c r="I100" s="904">
        <f t="shared" si="4"/>
        <v>0</v>
      </c>
    </row>
    <row r="101" spans="1:9" x14ac:dyDescent="0.35">
      <c r="A101" s="1247">
        <f>Buildings!B25</f>
        <v>0</v>
      </c>
      <c r="B101" s="901" t="str">
        <f>IFERROR((SUMIF(Energy!$B$16:$B$46,"="&amp;A101,Energy!$O$16:$O$46))/(VLOOKUP(A101, Buildings!$B$12:$L$41,11,0)),"")</f>
        <v/>
      </c>
      <c r="C101" s="901" t="str">
        <f>IFERROR((SUMIF(Energy!$B$81:$B$110,"="&amp;A101,Energy!$O$81:$O$110))/(VLOOKUP(A101, Buildings!$B$12:$L$41,11,0)),"")</f>
        <v/>
      </c>
      <c r="D101" s="901" t="str">
        <f>IFERROR((SUMIF(Energy!$B$113:$B$142,"="&amp;A101,Energy!$O$113:$O$142))/(VLOOKUP(A101, Buildings!$B$12:$L$41,11,0)),"")</f>
        <v/>
      </c>
      <c r="E101" s="901" t="str">
        <f>IFERROR((SUMIF(Energy!$B$145:$B$174,"="&amp;A101,Energy!$O$145:$O$174))/(VLOOKUP(A101, Buildings!$B$12:$L$41,11,0)),"")</f>
        <v/>
      </c>
      <c r="F101" s="901" t="str">
        <f>IFERROR((SUMIF(Energy!$B$177:$B$226,"="&amp;A101,Energy!$O$177:$O$226))/(VLOOKUP(A101, Buildings!$B$12:$L$41,11,0)),"")</f>
        <v/>
      </c>
      <c r="G101" s="901" t="str">
        <f>IFERROR((SUMIF(Energy!$B$229:$B$258,"="&amp;A101,Energy!$O$229:$O$258))/(VLOOKUP(A101, Buildings!$B$12:$L$41,11,0)),"")</f>
        <v/>
      </c>
      <c r="H101" s="901" t="str">
        <f>IFERROR(SUMIF('Refrigerant gases'!$A$12:$A$55,"="&amp;A101,'Refrigerant gases'!$P$12:$P$55)/(VLOOKUP(A101, Buildings!$B$12:$L$41,11,0)),"")</f>
        <v/>
      </c>
      <c r="I101" s="904">
        <f t="shared" si="4"/>
        <v>0</v>
      </c>
    </row>
    <row r="102" spans="1:9" x14ac:dyDescent="0.35">
      <c r="A102" s="1247">
        <f>Buildings!B26</f>
        <v>0</v>
      </c>
      <c r="B102" s="901" t="str">
        <f>IFERROR((SUMIF(Energy!$B$16:$B$46,"="&amp;A102,Energy!$O$16:$O$46))/(VLOOKUP(A102, Buildings!$B$12:$L$41,11,0)),"")</f>
        <v/>
      </c>
      <c r="C102" s="901" t="str">
        <f>IFERROR((SUMIF(Energy!$B$81:$B$110,"="&amp;A102,Energy!$O$81:$O$110))/(VLOOKUP(A102, Buildings!$B$12:$L$41,11,0)),"")</f>
        <v/>
      </c>
      <c r="D102" s="901" t="str">
        <f>IFERROR((SUMIF(Energy!$B$113:$B$142,"="&amp;A102,Energy!$O$113:$O$142))/(VLOOKUP(A102, Buildings!$B$12:$L$41,11,0)),"")</f>
        <v/>
      </c>
      <c r="E102" s="901" t="str">
        <f>IFERROR((SUMIF(Energy!$B$145:$B$174,"="&amp;A102,Energy!$O$145:$O$174))/(VLOOKUP(A102, Buildings!$B$12:$L$41,11,0)),"")</f>
        <v/>
      </c>
      <c r="F102" s="901" t="str">
        <f>IFERROR((SUMIF(Energy!$B$177:$B$226,"="&amp;A102,Energy!$O$177:$O$226))/(VLOOKUP(A102, Buildings!$B$12:$L$41,11,0)),"")</f>
        <v/>
      </c>
      <c r="G102" s="901" t="str">
        <f>IFERROR((SUMIF(Energy!$B$229:$B$258,"="&amp;A102,Energy!$O$229:$O$258))/(VLOOKUP(A102, Buildings!$B$12:$L$41,11,0)),"")</f>
        <v/>
      </c>
      <c r="H102" s="901" t="str">
        <f>IFERROR(SUMIF('Refrigerant gases'!$A$12:$A$55,"="&amp;A102,'Refrigerant gases'!$P$12:$P$55)/(VLOOKUP(A102, Buildings!$B$12:$L$41,11,0)),"")</f>
        <v/>
      </c>
      <c r="I102" s="904">
        <f t="shared" si="4"/>
        <v>0</v>
      </c>
    </row>
    <row r="103" spans="1:9" x14ac:dyDescent="0.35">
      <c r="A103" s="1247">
        <f>Buildings!B27</f>
        <v>0</v>
      </c>
      <c r="B103" s="901" t="str">
        <f>IFERROR((SUMIF(Energy!$B$16:$B$46,"="&amp;A103,Energy!$O$16:$O$46))/(VLOOKUP(A103, Buildings!$B$12:$L$41,11,0)),"")</f>
        <v/>
      </c>
      <c r="C103" s="901" t="str">
        <f>IFERROR((SUMIF(Energy!$B$81:$B$110,"="&amp;A103,Energy!$O$81:$O$110))/(VLOOKUP(A103, Buildings!$B$12:$L$41,11,0)),"")</f>
        <v/>
      </c>
      <c r="D103" s="901" t="str">
        <f>IFERROR((SUMIF(Energy!$B$113:$B$142,"="&amp;A103,Energy!$O$113:$O$142))/(VLOOKUP(A103, Buildings!$B$12:$L$41,11,0)),"")</f>
        <v/>
      </c>
      <c r="E103" s="901" t="str">
        <f>IFERROR((SUMIF(Energy!$B$145:$B$174,"="&amp;A103,Energy!$O$145:$O$174))/(VLOOKUP(A103, Buildings!$B$12:$L$41,11,0)),"")</f>
        <v/>
      </c>
      <c r="F103" s="901" t="str">
        <f>IFERROR((SUMIF(Energy!$B$177:$B$226,"="&amp;A103,Energy!$O$177:$O$226))/(VLOOKUP(A103, Buildings!$B$12:$L$41,11,0)),"")</f>
        <v/>
      </c>
      <c r="G103" s="901" t="str">
        <f>IFERROR((SUMIF(Energy!$B$229:$B$258,"="&amp;A103,Energy!$O$229:$O$258))/(VLOOKUP(A103, Buildings!$B$12:$L$41,11,0)),"")</f>
        <v/>
      </c>
      <c r="H103" s="901" t="str">
        <f>IFERROR(SUMIF('Refrigerant gases'!$A$12:$A$55,"="&amp;A103,'Refrigerant gases'!$P$12:$P$55)/(VLOOKUP(A103, Buildings!$B$12:$L$41,11,0)),"")</f>
        <v/>
      </c>
      <c r="I103" s="904">
        <f t="shared" si="4"/>
        <v>0</v>
      </c>
    </row>
    <row r="104" spans="1:9" x14ac:dyDescent="0.35">
      <c r="A104" s="1247">
        <f>Buildings!B28</f>
        <v>0</v>
      </c>
      <c r="B104" s="901" t="str">
        <f>IFERROR((SUMIF(Energy!$B$16:$B$46,"="&amp;A104,Energy!$O$16:$O$46))/(VLOOKUP(A104, Buildings!$B$12:$L$41,11,0)),"")</f>
        <v/>
      </c>
      <c r="C104" s="901" t="str">
        <f>IFERROR((SUMIF(Energy!$B$81:$B$110,"="&amp;A104,Energy!$O$81:$O$110))/(VLOOKUP(A104, Buildings!$B$12:$L$41,11,0)),"")</f>
        <v/>
      </c>
      <c r="D104" s="901" t="str">
        <f>IFERROR((SUMIF(Energy!$B$113:$B$142,"="&amp;A104,Energy!$O$113:$O$142))/(VLOOKUP(A104, Buildings!$B$12:$L$41,11,0)),"")</f>
        <v/>
      </c>
      <c r="E104" s="901" t="str">
        <f>IFERROR((SUMIF(Energy!$B$145:$B$174,"="&amp;A104,Energy!$O$145:$O$174))/(VLOOKUP(A104, Buildings!$B$12:$L$41,11,0)),"")</f>
        <v/>
      </c>
      <c r="F104" s="901" t="str">
        <f>IFERROR((SUMIF(Energy!$B$177:$B$226,"="&amp;A104,Energy!$O$177:$O$226))/(VLOOKUP(A104, Buildings!$B$12:$L$41,11,0)),"")</f>
        <v/>
      </c>
      <c r="G104" s="901" t="str">
        <f>IFERROR((SUMIF(Energy!$B$229:$B$258,"="&amp;A104,Energy!$O$229:$O$258))/(VLOOKUP(A104, Buildings!$B$12:$L$41,11,0)),"")</f>
        <v/>
      </c>
      <c r="H104" s="901" t="str">
        <f>IFERROR(SUMIF('Refrigerant gases'!$A$12:$A$55,"="&amp;A104,'Refrigerant gases'!$P$12:$P$55)/(VLOOKUP(A104, Buildings!$B$12:$L$41,11,0)),"")</f>
        <v/>
      </c>
      <c r="I104" s="904">
        <f t="shared" si="4"/>
        <v>0</v>
      </c>
    </row>
    <row r="105" spans="1:9" x14ac:dyDescent="0.35">
      <c r="A105" s="1247">
        <f>Buildings!B29</f>
        <v>0</v>
      </c>
      <c r="B105" s="901" t="str">
        <f>IFERROR((SUMIF(Energy!$B$16:$B$46,"="&amp;A105,Energy!$O$16:$O$46))/(VLOOKUP(A105, Buildings!$B$12:$L$41,11,0)),"")</f>
        <v/>
      </c>
      <c r="C105" s="901" t="str">
        <f>IFERROR((SUMIF(Energy!$B$81:$B$110,"="&amp;A105,Energy!$O$81:$O$110))/(VLOOKUP(A105, Buildings!$B$12:$L$41,11,0)),"")</f>
        <v/>
      </c>
      <c r="D105" s="901" t="str">
        <f>IFERROR((SUMIF(Energy!$B$113:$B$142,"="&amp;A105,Energy!$O$113:$O$142))/(VLOOKUP(A105, Buildings!$B$12:$L$41,11,0)),"")</f>
        <v/>
      </c>
      <c r="E105" s="901" t="str">
        <f>IFERROR((SUMIF(Energy!$B$145:$B$174,"="&amp;A105,Energy!$O$145:$O$174))/(VLOOKUP(A105, Buildings!$B$12:$L$41,11,0)),"")</f>
        <v/>
      </c>
      <c r="F105" s="901" t="str">
        <f>IFERROR((SUMIF(Energy!$B$177:$B$226,"="&amp;A105,Energy!$O$177:$O$226))/(VLOOKUP(A105, Buildings!$B$12:$L$41,11,0)),"")</f>
        <v/>
      </c>
      <c r="G105" s="901" t="str">
        <f>IFERROR((SUMIF(Energy!$B$229:$B$258,"="&amp;A105,Energy!$O$229:$O$258))/(VLOOKUP(A105, Buildings!$B$12:$L$41,11,0)),"")</f>
        <v/>
      </c>
      <c r="H105" s="901" t="str">
        <f>IFERROR(SUMIF('Refrigerant gases'!$A$12:$A$55,"="&amp;A105,'Refrigerant gases'!$P$12:$P$55)/(VLOOKUP(A105, Buildings!$B$12:$L$41,11,0)),"")</f>
        <v/>
      </c>
      <c r="I105" s="904">
        <f t="shared" si="4"/>
        <v>0</v>
      </c>
    </row>
    <row r="106" spans="1:9" x14ac:dyDescent="0.35">
      <c r="A106" s="1247">
        <f>Buildings!B30</f>
        <v>0</v>
      </c>
      <c r="B106" s="901" t="str">
        <f>IFERROR((SUMIF(Energy!$B$16:$B$46,"="&amp;A106,Energy!$O$16:$O$46))/(VLOOKUP(A106, Buildings!$B$12:$L$41,11,0)),"")</f>
        <v/>
      </c>
      <c r="C106" s="901" t="str">
        <f>IFERROR((SUMIF(Energy!$B$81:$B$110,"="&amp;A106,Energy!$O$81:$O$110))/(VLOOKUP(A106, Buildings!$B$12:$L$41,11,0)),"")</f>
        <v/>
      </c>
      <c r="D106" s="901" t="str">
        <f>IFERROR((SUMIF(Energy!$B$113:$B$142,"="&amp;A106,Energy!$O$113:$O$142))/(VLOOKUP(A106, Buildings!$B$12:$L$41,11,0)),"")</f>
        <v/>
      </c>
      <c r="E106" s="901" t="str">
        <f>IFERROR((SUMIF(Energy!$B$145:$B$174,"="&amp;A106,Energy!$O$145:$O$174))/(VLOOKUP(A106, Buildings!$B$12:$L$41,11,0)),"")</f>
        <v/>
      </c>
      <c r="F106" s="901" t="str">
        <f>IFERROR((SUMIF(Energy!$B$177:$B$226,"="&amp;A106,Energy!$O$177:$O$226))/(VLOOKUP(A106, Buildings!$B$12:$L$41,11,0)),"")</f>
        <v/>
      </c>
      <c r="G106" s="901" t="str">
        <f>IFERROR((SUMIF(Energy!$B$229:$B$258,"="&amp;A106,Energy!$O$229:$O$258))/(VLOOKUP(A106, Buildings!$B$12:$L$41,11,0)),"")</f>
        <v/>
      </c>
      <c r="H106" s="901" t="str">
        <f>IFERROR(SUMIF('Refrigerant gases'!$A$12:$A$55,"="&amp;A106,'Refrigerant gases'!$P$12:$P$55)/(VLOOKUP(A106, Buildings!$B$12:$L$41,11,0)),"")</f>
        <v/>
      </c>
      <c r="I106" s="904">
        <f t="shared" si="4"/>
        <v>0</v>
      </c>
    </row>
    <row r="107" spans="1:9" x14ac:dyDescent="0.35">
      <c r="A107" s="1247">
        <f>Buildings!B31</f>
        <v>0</v>
      </c>
      <c r="B107" s="901" t="str">
        <f>IFERROR((SUMIF(Energy!$B$16:$B$46,"="&amp;A107,Energy!$O$16:$O$46))/(VLOOKUP(A107, Buildings!$B$12:$L$41,11,0)),"")</f>
        <v/>
      </c>
      <c r="C107" s="901" t="str">
        <f>IFERROR((SUMIF(Energy!$B$81:$B$110,"="&amp;A107,Energy!$O$81:$O$110))/(VLOOKUP(A107, Buildings!$B$12:$L$41,11,0)),"")</f>
        <v/>
      </c>
      <c r="D107" s="901" t="str">
        <f>IFERROR((SUMIF(Energy!$B$113:$B$142,"="&amp;A107,Energy!$O$113:$O$142))/(VLOOKUP(A107, Buildings!$B$12:$L$41,11,0)),"")</f>
        <v/>
      </c>
      <c r="E107" s="901" t="str">
        <f>IFERROR((SUMIF(Energy!$B$145:$B$174,"="&amp;A107,Energy!$O$145:$O$174))/(VLOOKUP(A107, Buildings!$B$12:$L$41,11,0)),"")</f>
        <v/>
      </c>
      <c r="F107" s="901" t="str">
        <f>IFERROR((SUMIF(Energy!$B$177:$B$226,"="&amp;A107,Energy!$O$177:$O$226))/(VLOOKUP(A107, Buildings!$B$12:$L$41,11,0)),"")</f>
        <v/>
      </c>
      <c r="G107" s="901" t="str">
        <f>IFERROR((SUMIF(Energy!$B$229:$B$258,"="&amp;A107,Energy!$O$229:$O$258))/(VLOOKUP(A107, Buildings!$B$12:$L$41,11,0)),"")</f>
        <v/>
      </c>
      <c r="H107" s="901" t="str">
        <f>IFERROR(SUMIF('Refrigerant gases'!$A$12:$A$55,"="&amp;A107,'Refrigerant gases'!$P$12:$P$55)/(VLOOKUP(A107, Buildings!$B$12:$L$41,11,0)),"")</f>
        <v/>
      </c>
      <c r="I107" s="904">
        <f t="shared" si="4"/>
        <v>0</v>
      </c>
    </row>
    <row r="108" spans="1:9" x14ac:dyDescent="0.35">
      <c r="A108" s="1247">
        <f>Buildings!B32</f>
        <v>0</v>
      </c>
      <c r="B108" s="901" t="str">
        <f>IFERROR((SUMIF(Energy!$B$16:$B$46,"="&amp;A108,Energy!$O$16:$O$46))/(VLOOKUP(A108, Buildings!$B$12:$L$41,11,0)),"")</f>
        <v/>
      </c>
      <c r="C108" s="901" t="str">
        <f>IFERROR((SUMIF(Energy!$B$81:$B$110,"="&amp;A108,Energy!$O$81:$O$110))/(VLOOKUP(A108, Buildings!$B$12:$L$41,11,0)),"")</f>
        <v/>
      </c>
      <c r="D108" s="901" t="str">
        <f>IFERROR((SUMIF(Energy!$B$113:$B$142,"="&amp;A108,Energy!$O$113:$O$142))/(VLOOKUP(A108, Buildings!$B$12:$L$41,11,0)),"")</f>
        <v/>
      </c>
      <c r="E108" s="901" t="str">
        <f>IFERROR((SUMIF(Energy!$B$145:$B$174,"="&amp;A108,Energy!$O$145:$O$174))/(VLOOKUP(A108, Buildings!$B$12:$L$41,11,0)),"")</f>
        <v/>
      </c>
      <c r="F108" s="901" t="str">
        <f>IFERROR((SUMIF(Energy!$B$177:$B$226,"="&amp;A108,Energy!$O$177:$O$226))/(VLOOKUP(A108, Buildings!$B$12:$L$41,11,0)),"")</f>
        <v/>
      </c>
      <c r="G108" s="901" t="str">
        <f>IFERROR((SUMIF(Energy!$B$229:$B$258,"="&amp;A108,Energy!$O$229:$O$258))/(VLOOKUP(A108, Buildings!$B$12:$L$41,11,0)),"")</f>
        <v/>
      </c>
      <c r="H108" s="901" t="str">
        <f>IFERROR(SUMIF('Refrigerant gases'!$A$12:$A$55,"="&amp;A108,'Refrigerant gases'!$P$12:$P$55)/(VLOOKUP(A108, Buildings!$B$12:$L$41,11,0)),"")</f>
        <v/>
      </c>
      <c r="I108" s="904">
        <f t="shared" si="4"/>
        <v>0</v>
      </c>
    </row>
    <row r="109" spans="1:9" x14ac:dyDescent="0.35">
      <c r="A109" s="1247">
        <f>Buildings!B33</f>
        <v>0</v>
      </c>
      <c r="B109" s="901" t="str">
        <f>IFERROR((SUMIF(Energy!$B$16:$B$46,"="&amp;A109,Energy!$O$16:$O$46))/(VLOOKUP(A109, Buildings!$B$12:$L$41,11,0)),"")</f>
        <v/>
      </c>
      <c r="C109" s="901" t="str">
        <f>IFERROR((SUMIF(Energy!$B$81:$B$110,"="&amp;A109,Energy!$O$81:$O$110))/(VLOOKUP(A109, Buildings!$B$12:$L$41,11,0)),"")</f>
        <v/>
      </c>
      <c r="D109" s="901" t="str">
        <f>IFERROR((SUMIF(Energy!$B$113:$B$142,"="&amp;A109,Energy!$O$113:$O$142))/(VLOOKUP(A109, Buildings!$B$12:$L$41,11,0)),"")</f>
        <v/>
      </c>
      <c r="E109" s="901" t="str">
        <f>IFERROR((SUMIF(Energy!$B$145:$B$174,"="&amp;A109,Energy!$O$145:$O$174))/(VLOOKUP(A109, Buildings!$B$12:$L$41,11,0)),"")</f>
        <v/>
      </c>
      <c r="F109" s="901" t="str">
        <f>IFERROR((SUMIF(Energy!$B$177:$B$226,"="&amp;A109,Energy!$O$177:$O$226))/(VLOOKUP(A109, Buildings!$B$12:$L$41,11,0)),"")</f>
        <v/>
      </c>
      <c r="G109" s="901" t="str">
        <f>IFERROR((SUMIF(Energy!$B$229:$B$258,"="&amp;A109,Energy!$O$229:$O$258))/(VLOOKUP(A109, Buildings!$B$12:$L$41,11,0)),"")</f>
        <v/>
      </c>
      <c r="H109" s="901" t="str">
        <f>IFERROR(SUMIF('Refrigerant gases'!$A$12:$A$55,"="&amp;A109,'Refrigerant gases'!$P$12:$P$55)/(VLOOKUP(A109, Buildings!$B$12:$L$41,11,0)),"")</f>
        <v/>
      </c>
      <c r="I109" s="904">
        <f t="shared" si="4"/>
        <v>0</v>
      </c>
    </row>
    <row r="110" spans="1:9" x14ac:dyDescent="0.35">
      <c r="A110" s="1247">
        <f>Buildings!B34</f>
        <v>0</v>
      </c>
      <c r="B110" s="901" t="str">
        <f>IFERROR((SUMIF(Energy!$B$16:$B$46,"="&amp;A110,Energy!$O$16:$O$46))/(VLOOKUP(A110, Buildings!$B$12:$L$41,11,0)),"")</f>
        <v/>
      </c>
      <c r="C110" s="901" t="str">
        <f>IFERROR((SUMIF(Energy!$B$81:$B$110,"="&amp;A110,Energy!$O$81:$O$110))/(VLOOKUP(A110, Buildings!$B$12:$L$41,11,0)),"")</f>
        <v/>
      </c>
      <c r="D110" s="901" t="str">
        <f>IFERROR((SUMIF(Energy!$B$113:$B$142,"="&amp;A110,Energy!$O$113:$O$142))/(VLOOKUP(A110, Buildings!$B$12:$L$41,11,0)),"")</f>
        <v/>
      </c>
      <c r="E110" s="901" t="str">
        <f>IFERROR((SUMIF(Energy!$B$145:$B$174,"="&amp;A110,Energy!$O$145:$O$174))/(VLOOKUP(A110, Buildings!$B$12:$L$41,11,0)),"")</f>
        <v/>
      </c>
      <c r="F110" s="901" t="str">
        <f>IFERROR((SUMIF(Energy!$B$177:$B$226,"="&amp;A110,Energy!$O$177:$O$226))/(VLOOKUP(A110, Buildings!$B$12:$L$41,11,0)),"")</f>
        <v/>
      </c>
      <c r="G110" s="901" t="str">
        <f>IFERROR((SUMIF(Energy!$B$229:$B$258,"="&amp;A110,Energy!$O$229:$O$258))/(VLOOKUP(A110, Buildings!$B$12:$L$41,11,0)),"")</f>
        <v/>
      </c>
      <c r="H110" s="901" t="str">
        <f>IFERROR(SUMIF('Refrigerant gases'!$A$12:$A$55,"="&amp;A110,'Refrigerant gases'!$P$12:$P$55)/(VLOOKUP(A110, Buildings!$B$12:$L$41,11,0)),"")</f>
        <v/>
      </c>
      <c r="I110" s="904">
        <f t="shared" si="4"/>
        <v>0</v>
      </c>
    </row>
    <row r="111" spans="1:9" x14ac:dyDescent="0.35">
      <c r="A111" s="1247">
        <f>Buildings!B35</f>
        <v>0</v>
      </c>
      <c r="B111" s="901" t="str">
        <f>IFERROR((SUMIF(Energy!$B$16:$B$46,"="&amp;A111,Energy!$O$16:$O$46))/(VLOOKUP(A111, Buildings!$B$12:$L$41,11,0)),"")</f>
        <v/>
      </c>
      <c r="C111" s="901" t="str">
        <f>IFERROR((SUMIF(Energy!$B$81:$B$110,"="&amp;A111,Energy!$O$81:$O$110))/(VLOOKUP(A111, Buildings!$B$12:$L$41,11,0)),"")</f>
        <v/>
      </c>
      <c r="D111" s="901" t="str">
        <f>IFERROR((SUMIF(Energy!$B$113:$B$142,"="&amp;A111,Energy!$O$113:$O$142))/(VLOOKUP(A111, Buildings!$B$12:$L$41,11,0)),"")</f>
        <v/>
      </c>
      <c r="E111" s="901" t="str">
        <f>IFERROR((SUMIF(Energy!$B$145:$B$174,"="&amp;A111,Energy!$O$145:$O$174))/(VLOOKUP(A111, Buildings!$B$12:$L$41,11,0)),"")</f>
        <v/>
      </c>
      <c r="F111" s="901" t="str">
        <f>IFERROR((SUMIF(Energy!$B$177:$B$226,"="&amp;A111,Energy!$O$177:$O$226))/(VLOOKUP(A111, Buildings!$B$12:$L$41,11,0)),"")</f>
        <v/>
      </c>
      <c r="G111" s="901" t="str">
        <f>IFERROR((SUMIF(Energy!$B$229:$B$258,"="&amp;A111,Energy!$O$229:$O$258))/(VLOOKUP(A111, Buildings!$B$12:$L$41,11,0)),"")</f>
        <v/>
      </c>
      <c r="H111" s="901" t="str">
        <f>IFERROR(SUMIF('Refrigerant gases'!$A$12:$A$55,"="&amp;A111,'Refrigerant gases'!$P$12:$P$55)/(VLOOKUP(A111, Buildings!$B$12:$L$41,11,0)),"")</f>
        <v/>
      </c>
      <c r="I111" s="904">
        <f t="shared" si="4"/>
        <v>0</v>
      </c>
    </row>
    <row r="112" spans="1:9" x14ac:dyDescent="0.35">
      <c r="A112" s="1247">
        <f>Buildings!B36</f>
        <v>0</v>
      </c>
      <c r="B112" s="901" t="str">
        <f>IFERROR((SUMIF(Energy!$B$16:$B$46,"="&amp;A112,Energy!$O$16:$O$46))/(VLOOKUP(A112, Buildings!$B$12:$L$41,11,0)),"")</f>
        <v/>
      </c>
      <c r="C112" s="901" t="str">
        <f>IFERROR((SUMIF(Energy!$B$81:$B$110,"="&amp;A112,Energy!$O$81:$O$110))/(VLOOKUP(A112, Buildings!$B$12:$L$41,11,0)),"")</f>
        <v/>
      </c>
      <c r="D112" s="901" t="str">
        <f>IFERROR((SUMIF(Energy!$B$113:$B$142,"="&amp;A112,Energy!$O$113:$O$142))/(VLOOKUP(A112, Buildings!$B$12:$L$41,11,0)),"")</f>
        <v/>
      </c>
      <c r="E112" s="901" t="str">
        <f>IFERROR((SUMIF(Energy!$B$145:$B$174,"="&amp;A112,Energy!$O$145:$O$174))/(VLOOKUP(A112, Buildings!$B$12:$L$41,11,0)),"")</f>
        <v/>
      </c>
      <c r="F112" s="901" t="str">
        <f>IFERROR((SUMIF(Energy!$B$177:$B$226,"="&amp;A112,Energy!$O$177:$O$226))/(VLOOKUP(A112, Buildings!$B$12:$L$41,11,0)),"")</f>
        <v/>
      </c>
      <c r="G112" s="901" t="str">
        <f>IFERROR((SUMIF(Energy!$B$229:$B$258,"="&amp;A112,Energy!$O$229:$O$258))/(VLOOKUP(A112, Buildings!$B$12:$L$41,11,0)),"")</f>
        <v/>
      </c>
      <c r="H112" s="901" t="str">
        <f>IFERROR(SUMIF('Refrigerant gases'!$A$12:$A$55,"="&amp;A112,'Refrigerant gases'!$P$12:$P$55)/(VLOOKUP(A112, Buildings!$B$12:$L$41,11,0)),"")</f>
        <v/>
      </c>
      <c r="I112" s="904">
        <f t="shared" si="4"/>
        <v>0</v>
      </c>
    </row>
    <row r="113" spans="1:9" x14ac:dyDescent="0.35">
      <c r="A113" s="1247">
        <f>Buildings!B37</f>
        <v>0</v>
      </c>
      <c r="B113" s="901" t="str">
        <f>IFERROR((SUMIF(Energy!$B$16:$B$46,"="&amp;A113,Energy!$O$16:$O$46))/(VLOOKUP(A113, Buildings!$B$12:$L$41,11,0)),"")</f>
        <v/>
      </c>
      <c r="C113" s="901" t="str">
        <f>IFERROR((SUMIF(Energy!$B$81:$B$110,"="&amp;A113,Energy!$O$81:$O$110))/(VLOOKUP(A113, Buildings!$B$12:$L$41,11,0)),"")</f>
        <v/>
      </c>
      <c r="D113" s="901" t="str">
        <f>IFERROR((SUMIF(Energy!$B$113:$B$142,"="&amp;A113,Energy!$O$113:$O$142))/(VLOOKUP(A113, Buildings!$B$12:$L$41,11,0)),"")</f>
        <v/>
      </c>
      <c r="E113" s="901" t="str">
        <f>IFERROR((SUMIF(Energy!$B$145:$B$174,"="&amp;A113,Energy!$O$145:$O$174))/(VLOOKUP(A113, Buildings!$B$12:$L$41,11,0)),"")</f>
        <v/>
      </c>
      <c r="F113" s="901" t="str">
        <f>IFERROR((SUMIF(Energy!$B$177:$B$226,"="&amp;A113,Energy!$O$177:$O$226))/(VLOOKUP(A113, Buildings!$B$12:$L$41,11,0)),"")</f>
        <v/>
      </c>
      <c r="G113" s="901" t="str">
        <f>IFERROR((SUMIF(Energy!$B$229:$B$258,"="&amp;A113,Energy!$O$229:$O$258))/(VLOOKUP(A113, Buildings!$B$12:$L$41,11,0)),"")</f>
        <v/>
      </c>
      <c r="H113" s="901" t="str">
        <f>IFERROR(SUMIF('Refrigerant gases'!$A$12:$A$55,"="&amp;A113,'Refrigerant gases'!$P$12:$P$55)/(VLOOKUP(A113, Buildings!$B$12:$L$41,11,0)),"")</f>
        <v/>
      </c>
      <c r="I113" s="904">
        <f t="shared" si="4"/>
        <v>0</v>
      </c>
    </row>
    <row r="114" spans="1:9" x14ac:dyDescent="0.35">
      <c r="A114" s="1247">
        <f>Buildings!B38</f>
        <v>0</v>
      </c>
      <c r="B114" s="901" t="str">
        <f>IFERROR((SUMIF(Energy!$B$16:$B$46,"="&amp;A114,Energy!$O$16:$O$46))/(VLOOKUP(A114, Buildings!$B$12:$L$41,11,0)),"")</f>
        <v/>
      </c>
      <c r="C114" s="901" t="str">
        <f>IFERROR((SUMIF(Energy!$B$81:$B$110,"="&amp;A114,Energy!$O$81:$O$110))/(VLOOKUP(A114, Buildings!$B$12:$L$41,11,0)),"")</f>
        <v/>
      </c>
      <c r="D114" s="901" t="str">
        <f>IFERROR((SUMIF(Energy!$B$113:$B$142,"="&amp;A114,Energy!$O$113:$O$142))/(VLOOKUP(A114, Buildings!$B$12:$L$41,11,0)),"")</f>
        <v/>
      </c>
      <c r="E114" s="901" t="str">
        <f>IFERROR((SUMIF(Energy!$B$145:$B$174,"="&amp;A114,Energy!$O$145:$O$174))/(VLOOKUP(A114, Buildings!$B$12:$L$41,11,0)),"")</f>
        <v/>
      </c>
      <c r="F114" s="901" t="str">
        <f>IFERROR((SUMIF(Energy!$B$177:$B$226,"="&amp;A114,Energy!$O$177:$O$226))/(VLOOKUP(A114, Buildings!$B$12:$L$41,11,0)),"")</f>
        <v/>
      </c>
      <c r="G114" s="901" t="str">
        <f>IFERROR((SUMIF(Energy!$B$229:$B$258,"="&amp;A114,Energy!$O$229:$O$258))/(VLOOKUP(A114, Buildings!$B$12:$L$41,11,0)),"")</f>
        <v/>
      </c>
      <c r="H114" s="901" t="str">
        <f>IFERROR(SUMIF('Refrigerant gases'!$A$12:$A$55,"="&amp;A114,'Refrigerant gases'!$P$12:$P$55)/(VLOOKUP(A114, Buildings!$B$12:$L$41,11,0)),"")</f>
        <v/>
      </c>
      <c r="I114" s="904">
        <f t="shared" si="4"/>
        <v>0</v>
      </c>
    </row>
    <row r="115" spans="1:9" x14ac:dyDescent="0.35">
      <c r="A115" s="1247">
        <f>Buildings!B39</f>
        <v>0</v>
      </c>
      <c r="B115" s="901" t="str">
        <f>IFERROR((SUMIF(Energy!$B$16:$B$46,"="&amp;A115,Energy!$O$16:$O$46))/(VLOOKUP(A115, Buildings!$B$12:$L$41,11,0)),"")</f>
        <v/>
      </c>
      <c r="C115" s="901" t="str">
        <f>IFERROR((SUMIF(Energy!$B$81:$B$110,"="&amp;A115,Energy!$O$81:$O$110))/(VLOOKUP(A115, Buildings!$B$12:$L$41,11,0)),"")</f>
        <v/>
      </c>
      <c r="D115" s="901" t="str">
        <f>IFERROR((SUMIF(Energy!$B$113:$B$142,"="&amp;A115,Energy!$O$113:$O$142))/(VLOOKUP(A115, Buildings!$B$12:$L$41,11,0)),"")</f>
        <v/>
      </c>
      <c r="E115" s="901" t="str">
        <f>IFERROR((SUMIF(Energy!$B$145:$B$174,"="&amp;A115,Energy!$O$145:$O$174))/(VLOOKUP(A115, Buildings!$B$12:$L$41,11,0)),"")</f>
        <v/>
      </c>
      <c r="F115" s="901" t="str">
        <f>IFERROR((SUMIF(Energy!$B$177:$B$226,"="&amp;A115,Energy!$O$177:$O$226))/(VLOOKUP(A115, Buildings!$B$12:$L$41,11,0)),"")</f>
        <v/>
      </c>
      <c r="G115" s="901" t="str">
        <f>IFERROR((SUMIF(Energy!$B$229:$B$258,"="&amp;A115,Energy!$O$229:$O$258))/(VLOOKUP(A115, Buildings!$B$12:$L$41,11,0)),"")</f>
        <v/>
      </c>
      <c r="H115" s="901" t="str">
        <f>IFERROR(SUMIF('Refrigerant gases'!$A$12:$A$55,"="&amp;A115,'Refrigerant gases'!$P$12:$P$55)/(VLOOKUP(A115, Buildings!$B$12:$L$41,11,0)),"")</f>
        <v/>
      </c>
      <c r="I115" s="904">
        <f t="shared" si="4"/>
        <v>0</v>
      </c>
    </row>
    <row r="116" spans="1:9" x14ac:dyDescent="0.35">
      <c r="A116" s="1247">
        <f>Buildings!B40</f>
        <v>0</v>
      </c>
      <c r="B116" s="901" t="str">
        <f>IFERROR((SUMIF(Energy!$B$16:$B$46,"="&amp;A116,Energy!$O$16:$O$46))/(VLOOKUP(A116, Buildings!$B$12:$L$41,11,0)),"")</f>
        <v/>
      </c>
      <c r="C116" s="901" t="str">
        <f>IFERROR((SUMIF(Energy!$B$81:$B$110,"="&amp;A116,Energy!$O$81:$O$110))/(VLOOKUP(A116, Buildings!$B$12:$L$41,11,0)),"")</f>
        <v/>
      </c>
      <c r="D116" s="901" t="str">
        <f>IFERROR((SUMIF(Energy!$B$113:$B$142,"="&amp;A116,Energy!$O$113:$O$142))/(VLOOKUP(A116, Buildings!$B$12:$L$41,11,0)),"")</f>
        <v/>
      </c>
      <c r="E116" s="901" t="str">
        <f>IFERROR((SUMIF(Energy!$B$145:$B$174,"="&amp;A116,Energy!$O$145:$O$174))/(VLOOKUP(A116, Buildings!$B$12:$L$41,11,0)),"")</f>
        <v/>
      </c>
      <c r="F116" s="901" t="str">
        <f>IFERROR((SUMIF(Energy!$B$177:$B$226,"="&amp;A116,Energy!$O$177:$O$226))/(VLOOKUP(A116, Buildings!$B$12:$L$41,11,0)),"")</f>
        <v/>
      </c>
      <c r="G116" s="901" t="str">
        <f>IFERROR((SUMIF(Energy!$B$229:$B$258,"="&amp;A116,Energy!$O$229:$O$258))/(VLOOKUP(A116, Buildings!$B$12:$L$41,11,0)),"")</f>
        <v/>
      </c>
      <c r="H116" s="901" t="str">
        <f>IFERROR(SUMIF('Refrigerant gases'!$A$12:$A$55,"="&amp;A116,'Refrigerant gases'!$P$12:$P$55)/(VLOOKUP(A116, Buildings!$B$12:$L$41,11,0)),"")</f>
        <v/>
      </c>
      <c r="I116" s="904">
        <f t="shared" si="4"/>
        <v>0</v>
      </c>
    </row>
    <row r="117" spans="1:9" ht="15" thickBot="1" x14ac:dyDescent="0.4">
      <c r="A117" s="1247">
        <f>Buildings!B41</f>
        <v>0</v>
      </c>
      <c r="B117" s="901" t="str">
        <f>IFERROR((SUMIF(Energy!$B$16:$B$46,"="&amp;A117,Energy!$O$16:$O$46))/(VLOOKUP(A117, Buildings!$B$12:$L$41,11,0)),"")</f>
        <v/>
      </c>
      <c r="C117" s="901" t="str">
        <f>IFERROR((SUMIF(Energy!$B$81:$B$110,"="&amp;A117,Energy!$O$81:$O$110))/(VLOOKUP(A117, Buildings!$B$12:$L$41,11,0)),"")</f>
        <v/>
      </c>
      <c r="D117" s="901" t="str">
        <f>IFERROR((SUMIF(Energy!$B$113:$B$142,"="&amp;A117,Energy!$O$113:$O$142))/(VLOOKUP(A117, Buildings!$B$12:$L$41,11,0)),"")</f>
        <v/>
      </c>
      <c r="E117" s="901" t="str">
        <f>IFERROR((SUMIF(Energy!$B$145:$B$174,"="&amp;A117,Energy!$O$145:$O$174))/(VLOOKUP(A117, Buildings!$B$12:$L$41,11,0)),"")</f>
        <v/>
      </c>
      <c r="F117" s="901" t="str">
        <f>IFERROR((SUMIF(Energy!$B$177:$B$226,"="&amp;A117,Energy!$O$177:$O$226))/(VLOOKUP(A117, Buildings!$B$12:$L$41,11,0)),"")</f>
        <v/>
      </c>
      <c r="G117" s="901" t="str">
        <f>IFERROR((SUMIF(Energy!$B$229:$B$258,"="&amp;A117,Energy!$O$229:$O$258))/(VLOOKUP(A117, Buildings!$B$12:$L$41,11,0)),"")</f>
        <v/>
      </c>
      <c r="H117" s="901" t="str">
        <f>IFERROR(SUMIF('Refrigerant gases'!$A$12:$A$55,"="&amp;A117,'Refrigerant gases'!$P$12:$P$55)/(VLOOKUP(A117, Buildings!$B$12:$L$41,11,0)),"")</f>
        <v/>
      </c>
      <c r="I117" s="904">
        <f t="shared" si="4"/>
        <v>0</v>
      </c>
    </row>
    <row r="118" spans="1:9" ht="15" thickBot="1" x14ac:dyDescent="0.4">
      <c r="A118" s="1248" t="s">
        <v>271</v>
      </c>
      <c r="B118" s="907">
        <f t="shared" ref="B118:H118" si="5">IFERROR(AVERAGE(B85:B117),"")</f>
        <v>0</v>
      </c>
      <c r="C118" s="907">
        <f t="shared" si="5"/>
        <v>0</v>
      </c>
      <c r="D118" s="907">
        <f t="shared" si="5"/>
        <v>0</v>
      </c>
      <c r="E118" s="907">
        <f t="shared" si="5"/>
        <v>0</v>
      </c>
      <c r="F118" s="907">
        <f t="shared" si="5"/>
        <v>0.55155200000000004</v>
      </c>
      <c r="G118" s="907">
        <f t="shared" si="5"/>
        <v>0</v>
      </c>
      <c r="H118" s="910">
        <f t="shared" si="5"/>
        <v>0.69</v>
      </c>
      <c r="I118" s="911">
        <f>AVERAGE(I85:I117)</f>
        <v>7.5245575757575761E-2</v>
      </c>
    </row>
    <row r="120" spans="1:9" ht="15" thickBot="1" x14ac:dyDescent="0.4"/>
    <row r="121" spans="1:9" ht="15" thickBot="1" x14ac:dyDescent="0.4">
      <c r="B121" s="1694" t="s">
        <v>272</v>
      </c>
      <c r="C121" s="1695"/>
      <c r="D121" s="1695"/>
      <c r="E121" s="1695"/>
      <c r="F121" s="1695"/>
      <c r="G121" s="1695"/>
      <c r="H121" s="1695"/>
      <c r="I121" s="1696"/>
    </row>
    <row r="122" spans="1:9" ht="34.5" customHeight="1" thickBot="1" x14ac:dyDescent="0.4">
      <c r="A122" s="856" t="s">
        <v>246</v>
      </c>
      <c r="B122" s="857" t="s">
        <v>247</v>
      </c>
      <c r="C122" s="857" t="s">
        <v>248</v>
      </c>
      <c r="D122" s="857" t="s">
        <v>249</v>
      </c>
      <c r="E122" s="857" t="s">
        <v>250</v>
      </c>
      <c r="F122" s="857" t="s">
        <v>251</v>
      </c>
      <c r="G122" s="857" t="s">
        <v>252</v>
      </c>
      <c r="H122" s="857" t="s">
        <v>257</v>
      </c>
      <c r="I122" s="858" t="s">
        <v>273</v>
      </c>
    </row>
    <row r="123" spans="1:9" x14ac:dyDescent="0.35">
      <c r="A123" s="1247" t="str">
        <f>Buildings!B9</f>
        <v>Several sites</v>
      </c>
      <c r="B123" s="900" t="str">
        <f>IFERROR((SUMIF(Energy!$B$16:$B$46,"="&amp;A123,Energy!$R$16:$R$46))/(VLOOKUP(A123, Buildings!$B$12:$L$41,11,0)),"")</f>
        <v/>
      </c>
      <c r="C123" s="900" t="str">
        <f>IFERROR((SUMIF(Energy!$B$81:$B$110,"="&amp;A123,Energy!$R$81:$R$110))/(VLOOKUP(A123, Buildings!$B$12:$L$41,11,0)),"")</f>
        <v/>
      </c>
      <c r="D123" s="900" t="str">
        <f>IFERROR((SUMIF(Energy!$B$113:$B$142,"="&amp;A123,Energy!$R$113:$R$142))/(VLOOKUP(A123, Buildings!$B$12:$L$41,11,0)),"")</f>
        <v/>
      </c>
      <c r="E123" s="900" t="str">
        <f>IFERROR((SUMIF(Energy!$B$145:$B$174,"="&amp;A123,Energy!$R$145:$R$174))/(VLOOKUP(A123, Buildings!$B$12:$L$41,11,0)),"")</f>
        <v/>
      </c>
      <c r="F123" s="900" t="str">
        <f>IFERROR((SUMIF(Energy!$B$177:$B$226,"="&amp;A123,Energy!$R$177:$R$226))/(VLOOKUP(A123, Buildings!$B$12:$L$41,11,0)),"")</f>
        <v/>
      </c>
      <c r="G123" s="900" t="str">
        <f>IFERROR((SUMIF(Energy!$B$229:$B$258,"="&amp;A123,Energy!$R$229:$R$258))/(VLOOKUP(A123, Buildings!$B$12:$L$41,11,0)),"")</f>
        <v/>
      </c>
      <c r="H123" s="901" t="str">
        <f>IFERROR(SUMIF('Refrigerant gases'!$A$12:$A$55,"="&amp;A123,'Refrigerant gases'!$T$12:$T$55)/(VLOOKUP(A123, Buildings!$B$12:$L$41,11,0)),"")</f>
        <v/>
      </c>
      <c r="I123" s="904">
        <f>SUM(B123:H123)</f>
        <v>0</v>
      </c>
    </row>
    <row r="124" spans="1:9" x14ac:dyDescent="0.35">
      <c r="A124" s="1247" t="str">
        <f>Buildings!B10</f>
        <v>Across all sites</v>
      </c>
      <c r="B124" s="901" t="str">
        <f>IFERROR((SUMIF(Energy!$B$16:$B$46,"="&amp;A124,Energy!$R$16:$R$46))/(VLOOKUP(A124, Buildings!$B$12:$L$41,11,0)),"")</f>
        <v/>
      </c>
      <c r="C124" s="901" t="str">
        <f>IFERROR((SUMIF(Energy!$B$81:$B$110,"="&amp;A124,Energy!$R$81:$R$110))/(VLOOKUP(A124, Buildings!$B$12:$L$41,11,0)),"")</f>
        <v/>
      </c>
      <c r="D124" s="901" t="str">
        <f>IFERROR((SUMIF(Energy!$B$113:$B$142,"="&amp;A124,Energy!$R$113:$R$142))/(VLOOKUP(A124, Buildings!$B$12:$L$41,11,0)),"")</f>
        <v/>
      </c>
      <c r="E124" s="901" t="str">
        <f>IFERROR((SUMIF(Energy!$B$145:$B$174,"="&amp;A124,Energy!$R$145:$R$174))/(VLOOKUP(A124, Buildings!$B$12:$L$41,11,0)),"")</f>
        <v/>
      </c>
      <c r="F124" s="901" t="str">
        <f>IFERROR((SUMIF(Energy!$B$177:$B$226,"="&amp;A124,Energy!$R$177:$R$226))/(VLOOKUP(A124, Buildings!$B$12:$L$41,11,0)),"")</f>
        <v/>
      </c>
      <c r="G124" s="901" t="str">
        <f>IFERROR((SUMIF(Energy!$B$229:$B$258,"="&amp;A124,Energy!$R$229:$R$258))/(VLOOKUP(A124, Buildings!$B$12:$L$41,11,0)),"")</f>
        <v/>
      </c>
      <c r="H124" s="901" t="str">
        <f>IFERROR(SUMIF('Refrigerant gases'!$A$12:$A$55,"="&amp;A124,'Refrigerant gases'!$T$12:$T$55)/(VLOOKUP(A124, Buildings!$B$12:$L$41,11,0)),"")</f>
        <v/>
      </c>
      <c r="I124" s="905">
        <f>SUM(B124:H124)</f>
        <v>0</v>
      </c>
    </row>
    <row r="125" spans="1:9" x14ac:dyDescent="0.35">
      <c r="A125" s="1247" t="str">
        <f>Buildings!B11</f>
        <v>Not linked to a site</v>
      </c>
      <c r="B125" s="901" t="str">
        <f>IFERROR((SUMIF(Energy!$B$16:$B$46,"="&amp;A125,Energy!$R$16:$R$46))/(VLOOKUP(A125, Buildings!$B$12:$L$41,11,0)),"")</f>
        <v/>
      </c>
      <c r="C125" s="901" t="str">
        <f>IFERROR((SUMIF(Energy!$B$81:$B$110,"="&amp;A125,Energy!$R$81:$R$110))/(VLOOKUP(A125, Buildings!$B$12:$L$41,11,0)),"")</f>
        <v/>
      </c>
      <c r="D125" s="901" t="str">
        <f>IFERROR((SUMIF(Energy!$B$113:$B$142,"="&amp;A125,Energy!$R$113:$R$142))/(VLOOKUP(A125, Buildings!$B$12:$L$41,11,0)),"")</f>
        <v/>
      </c>
      <c r="E125" s="901" t="str">
        <f>IFERROR((SUMIF(Energy!$B$145:$B$174,"="&amp;A125,Energy!$R$145:$R$174))/(VLOOKUP(A125, Buildings!$B$12:$L$41,11,0)),"")</f>
        <v/>
      </c>
      <c r="F125" s="901" t="str">
        <f>IFERROR((SUMIF(Energy!$B$177:$B$226,"="&amp;A125,Energy!$R$177:$R$226))/(VLOOKUP(A125, Buildings!$B$12:$L$41,11,0)),"")</f>
        <v/>
      </c>
      <c r="G125" s="901" t="str">
        <f>IFERROR((SUMIF(Energy!$B$229:$B$258,"="&amp;A125,Energy!$R$229:$R$258))/(VLOOKUP(A125, Buildings!$B$12:$L$41,11,0)),"")</f>
        <v/>
      </c>
      <c r="H125" s="901" t="str">
        <f>IFERROR(SUMIF('Refrigerant gases'!$A$12:$A$55,"="&amp;A125,'Refrigerant gases'!$T$12:$T$55)/(VLOOKUP(A125, Buildings!$B$12:$L$41,11,0)),"")</f>
        <v/>
      </c>
      <c r="I125" s="905">
        <f t="shared" ref="I125:I154" si="6">SUM(B125:H125)</f>
        <v>0</v>
      </c>
    </row>
    <row r="126" spans="1:9" x14ac:dyDescent="0.35">
      <c r="A126" s="1247" t="str">
        <f>Buildings!B12</f>
        <v>Laudium</v>
      </c>
      <c r="B126" s="901">
        <f>IFERROR((SUMIF(Energy!$B$16:$B$46,"="&amp;A126,Energy!$R$16:$R$46))/(VLOOKUP(A126, Buildings!$B$12:$L$41,11,0)),"")</f>
        <v>0</v>
      </c>
      <c r="C126" s="901">
        <f>IFERROR((SUMIF(Energy!$B$81:$B$110,"="&amp;A126,Energy!$R$81:$R$110))/(VLOOKUP(A126, Buildings!$B$12:$L$41,11,0)),"")</f>
        <v>0</v>
      </c>
      <c r="D126" s="901">
        <f>IFERROR((SUMIF(Energy!$B$113:$B$142,"="&amp;A126,Energy!$R$113:$R$142))/(VLOOKUP(A126, Buildings!$B$12:$L$41,11,0)),"")</f>
        <v>0</v>
      </c>
      <c r="E126" s="901">
        <f>IFERROR((SUMIF(Energy!$B$145:$B$174,"="&amp;A126,Energy!$R$145:$R$174))/(VLOOKUP(A126, Buildings!$B$12:$L$41,11,0)),"")</f>
        <v>0</v>
      </c>
      <c r="F126" s="901">
        <f>IFERROR((SUMIF(Energy!$B$177:$B$226,"="&amp;A126,Energy!$R$177:$R$226))/(VLOOKUP(A126, Buildings!$B$12:$L$41,11,0)),"")</f>
        <v>0</v>
      </c>
      <c r="G126" s="901">
        <f>IFERROR((SUMIF(Energy!$B$229:$B$258,"="&amp;A126,Energy!$R$229:$R$258))/(VLOOKUP(A126, Buildings!$B$12:$L$41,11,0)),"")</f>
        <v>0</v>
      </c>
      <c r="H126" s="901">
        <f>IFERROR(SUMIF('Refrigerant gases'!$A$12:$A$55,"="&amp;A126,'Refrigerant gases'!$T$12:$T$55)/(VLOOKUP(A126, Buildings!$B$12:$L$41,11,0)),"")</f>
        <v>0</v>
      </c>
      <c r="I126" s="905">
        <f t="shared" si="6"/>
        <v>0</v>
      </c>
    </row>
    <row r="127" spans="1:9" x14ac:dyDescent="0.35">
      <c r="A127" s="1247" t="str">
        <f>Buildings!B13</f>
        <v>Stanza</v>
      </c>
      <c r="B127" s="901">
        <f>IFERROR((SUMIF(Energy!$B$16:$B$46,"="&amp;A127,Energy!$R$16:$R$46))/(VLOOKUP(A127, Buildings!$B$12:$L$41,11,0)),"")</f>
        <v>0</v>
      </c>
      <c r="C127" s="901">
        <f>IFERROR((SUMIF(Energy!$B$81:$B$110,"="&amp;A127,Energy!$R$81:$R$110))/(VLOOKUP(A127, Buildings!$B$12:$L$41,11,0)),"")</f>
        <v>0</v>
      </c>
      <c r="D127" s="901">
        <f>IFERROR((SUMIF(Energy!$B$113:$B$142,"="&amp;A127,Energy!$R$113:$R$142))/(VLOOKUP(A127, Buildings!$B$12:$L$41,11,0)),"")</f>
        <v>0</v>
      </c>
      <c r="E127" s="901">
        <f>IFERROR((SUMIF(Energy!$B$145:$B$174,"="&amp;A127,Energy!$R$145:$R$174))/(VLOOKUP(A127, Buildings!$B$12:$L$41,11,0)),"")</f>
        <v>0</v>
      </c>
      <c r="F127" s="901">
        <f>IFERROR((SUMIF(Energy!$B$177:$B$226,"="&amp;A127,Energy!$R$177:$R$226))/(VLOOKUP(A127, Buildings!$B$12:$L$41,11,0)),"")</f>
        <v>0</v>
      </c>
      <c r="G127" s="901">
        <f>IFERROR((SUMIF(Energy!$B$229:$B$258,"="&amp;A127,Energy!$R$229:$R$258))/(VLOOKUP(A127, Buildings!$B$12:$L$41,11,0)),"")</f>
        <v>0</v>
      </c>
      <c r="H127" s="901">
        <f>IFERROR(SUMIF('Refrigerant gases'!$A$12:$A$55,"="&amp;A127,'Refrigerant gases'!$T$12:$T$55)/(VLOOKUP(A127, Buildings!$B$12:$L$41,11,0)),"")</f>
        <v>0</v>
      </c>
      <c r="I127" s="905">
        <f t="shared" si="6"/>
        <v>0</v>
      </c>
    </row>
    <row r="128" spans="1:9" x14ac:dyDescent="0.35">
      <c r="A128" s="1247">
        <f>Buildings!B14</f>
        <v>0</v>
      </c>
      <c r="B128" s="901" t="str">
        <f>IFERROR((SUMIF(Energy!$B$16:$B$46,"="&amp;A128,Energy!$R$16:$R$46))/(VLOOKUP(A128, Buildings!$B$12:$L$41,11,0)),"")</f>
        <v/>
      </c>
      <c r="C128" s="901" t="str">
        <f>IFERROR((SUMIF(Energy!$B$81:$B$110,"="&amp;A128,Energy!$R$81:$R$110))/(VLOOKUP(A128, Buildings!$B$12:$L$41,11,0)),"")</f>
        <v/>
      </c>
      <c r="D128" s="901" t="str">
        <f>IFERROR((SUMIF(Energy!$B$113:$B$142,"="&amp;A128,Energy!$R$113:$R$142))/(VLOOKUP(A128, Buildings!$B$12:$L$41,11,0)),"")</f>
        <v/>
      </c>
      <c r="E128" s="901" t="str">
        <f>IFERROR((SUMIF(Energy!$B$145:$B$174,"="&amp;A128,Energy!$R$145:$R$174))/(VLOOKUP(A128, Buildings!$B$12:$L$41,11,0)),"")</f>
        <v/>
      </c>
      <c r="F128" s="901" t="str">
        <f>IFERROR((SUMIF(Energy!$B$177:$B$226,"="&amp;A128,Energy!$R$177:$R$226))/(VLOOKUP(A128, Buildings!$B$12:$L$41,11,0)),"")</f>
        <v/>
      </c>
      <c r="G128" s="901" t="str">
        <f>IFERROR((SUMIF(Energy!$B$229:$B$258,"="&amp;A128,Energy!$R$229:$R$258))/(VLOOKUP(A128, Buildings!$B$12:$L$41,11,0)),"")</f>
        <v/>
      </c>
      <c r="H128" s="901" t="str">
        <f>IFERROR(SUMIF('Refrigerant gases'!$A$12:$A$55,"="&amp;A128,'Refrigerant gases'!$T$12:$T$55)/(VLOOKUP(A128, Buildings!$B$12:$L$41,11,0)),"")</f>
        <v/>
      </c>
      <c r="I128" s="905">
        <f t="shared" si="6"/>
        <v>0</v>
      </c>
    </row>
    <row r="129" spans="1:9" x14ac:dyDescent="0.35">
      <c r="A129" s="1247">
        <f>Buildings!B15</f>
        <v>0</v>
      </c>
      <c r="B129" s="901" t="str">
        <f>IFERROR((SUMIF(Energy!$B$16:$B$46,"="&amp;A129,Energy!$R$16:$R$46))/(VLOOKUP(A129, Buildings!$B$12:$L$41,11,0)),"")</f>
        <v/>
      </c>
      <c r="C129" s="901" t="str">
        <f>IFERROR((SUMIF(Energy!$B$81:$B$110,"="&amp;A129,Energy!$R$81:$R$110))/(VLOOKUP(A129, Buildings!$B$12:$L$41,11,0)),"")</f>
        <v/>
      </c>
      <c r="D129" s="901" t="str">
        <f>IFERROR((SUMIF(Energy!$B$113:$B$142,"="&amp;A129,Energy!$R$113:$R$142))/(VLOOKUP(A129, Buildings!$B$12:$L$41,11,0)),"")</f>
        <v/>
      </c>
      <c r="E129" s="901" t="str">
        <f>IFERROR((SUMIF(Energy!$B$145:$B$174,"="&amp;A129,Energy!$R$145:$R$174))/(VLOOKUP(A129, Buildings!$B$12:$L$41,11,0)),"")</f>
        <v/>
      </c>
      <c r="F129" s="901" t="str">
        <f>IFERROR((SUMIF(Energy!$B$177:$B$226,"="&amp;A129,Energy!$R$177:$R$226))/(VLOOKUP(A129, Buildings!$B$12:$L$41,11,0)),"")</f>
        <v/>
      </c>
      <c r="G129" s="901" t="str">
        <f>IFERROR((SUMIF(Energy!$B$229:$B$258,"="&amp;A129,Energy!$R$229:$R$258))/(VLOOKUP(A129, Buildings!$B$12:$L$41,11,0)),"")</f>
        <v/>
      </c>
      <c r="H129" s="901" t="str">
        <f>IFERROR(SUMIF('Refrigerant gases'!$A$12:$A$55,"="&amp;A129,'Refrigerant gases'!$T$12:$T$55)/(VLOOKUP(A129, Buildings!$B$12:$L$41,11,0)),"")</f>
        <v/>
      </c>
      <c r="I129" s="905">
        <f t="shared" si="6"/>
        <v>0</v>
      </c>
    </row>
    <row r="130" spans="1:9" x14ac:dyDescent="0.35">
      <c r="A130" s="1247">
        <f>Buildings!B16</f>
        <v>0</v>
      </c>
      <c r="B130" s="901" t="str">
        <f>IFERROR((SUMIF(Energy!$B$16:$B$46,"="&amp;A130,Energy!$R$16:$R$46))/(VLOOKUP(A130, Buildings!$B$12:$L$41,11,0)),"")</f>
        <v/>
      </c>
      <c r="C130" s="901" t="str">
        <f>IFERROR((SUMIF(Energy!$B$81:$B$110,"="&amp;A130,Energy!$R$81:$R$110))/(VLOOKUP(A130, Buildings!$B$12:$L$41,11,0)),"")</f>
        <v/>
      </c>
      <c r="D130" s="901" t="str">
        <f>IFERROR((SUMIF(Energy!$B$113:$B$142,"="&amp;A130,Energy!$R$113:$R$142))/(VLOOKUP(A130, Buildings!$B$12:$L$41,11,0)),"")</f>
        <v/>
      </c>
      <c r="E130" s="901" t="str">
        <f>IFERROR((SUMIF(Energy!$B$145:$B$174,"="&amp;A130,Energy!$R$145:$R$174))/(VLOOKUP(A130, Buildings!$B$12:$L$41,11,0)),"")</f>
        <v/>
      </c>
      <c r="F130" s="901" t="str">
        <f>IFERROR((SUMIF(Energy!$B$177:$B$226,"="&amp;A130,Energy!$R$177:$R$226))/(VLOOKUP(A130, Buildings!$B$12:$L$41,11,0)),"")</f>
        <v/>
      </c>
      <c r="G130" s="901" t="str">
        <f>IFERROR((SUMIF(Energy!$B$229:$B$258,"="&amp;A130,Energy!$R$229:$R$258))/(VLOOKUP(A130, Buildings!$B$12:$L$41,11,0)),"")</f>
        <v/>
      </c>
      <c r="H130" s="901" t="str">
        <f>IFERROR(SUMIF('Refrigerant gases'!$A$12:$A$55,"="&amp;A130,'Refrigerant gases'!$T$12:$T$55)/(VLOOKUP(A130, Buildings!$B$12:$L$41,11,0)),"")</f>
        <v/>
      </c>
      <c r="I130" s="905">
        <f t="shared" si="6"/>
        <v>0</v>
      </c>
    </row>
    <row r="131" spans="1:9" x14ac:dyDescent="0.35">
      <c r="A131" s="1247">
        <f>Buildings!B17</f>
        <v>0</v>
      </c>
      <c r="B131" s="901" t="str">
        <f>IFERROR((SUMIF(Energy!$B$16:$B$46,"="&amp;A131,Energy!$R$16:$R$46))/(VLOOKUP(A131, Buildings!$B$12:$L$41,11,0)),"")</f>
        <v/>
      </c>
      <c r="C131" s="901" t="str">
        <f>IFERROR((SUMIF(Energy!$B$81:$B$110,"="&amp;A131,Energy!$R$81:$R$110))/(VLOOKUP(A131, Buildings!$B$12:$L$41,11,0)),"")</f>
        <v/>
      </c>
      <c r="D131" s="901" t="str">
        <f>IFERROR((SUMIF(Energy!$B$113:$B$142,"="&amp;A131,Energy!$R$113:$R$142))/(VLOOKUP(A131, Buildings!$B$12:$L$41,11,0)),"")</f>
        <v/>
      </c>
      <c r="E131" s="901" t="str">
        <f>IFERROR((SUMIF(Energy!$B$145:$B$174,"="&amp;A131,Energy!$R$145:$R$174))/(VLOOKUP(A131, Buildings!$B$12:$L$41,11,0)),"")</f>
        <v/>
      </c>
      <c r="F131" s="901" t="str">
        <f>IFERROR((SUMIF(Energy!$B$177:$B$226,"="&amp;A131,Energy!$R$177:$R$226))/(VLOOKUP(A131, Buildings!$B$12:$L$41,11,0)),"")</f>
        <v/>
      </c>
      <c r="G131" s="901" t="str">
        <f>IFERROR((SUMIF(Energy!$B$229:$B$258,"="&amp;A131,Energy!$R$229:$R$258))/(VLOOKUP(A131, Buildings!$B$12:$L$41,11,0)),"")</f>
        <v/>
      </c>
      <c r="H131" s="901" t="str">
        <f>IFERROR(SUMIF('Refrigerant gases'!$A$12:$A$55,"="&amp;A131,'Refrigerant gases'!$T$12:$T$55)/(VLOOKUP(A131, Buildings!$B$12:$L$41,11,0)),"")</f>
        <v/>
      </c>
      <c r="I131" s="905">
        <f t="shared" si="6"/>
        <v>0</v>
      </c>
    </row>
    <row r="132" spans="1:9" x14ac:dyDescent="0.35">
      <c r="A132" s="1247">
        <f>Buildings!B18</f>
        <v>0</v>
      </c>
      <c r="B132" s="901" t="str">
        <f>IFERROR((SUMIF(Energy!$B$16:$B$46,"="&amp;A132,Energy!$R$16:$R$46))/(VLOOKUP(A132, Buildings!$B$12:$L$41,11,0)),"")</f>
        <v/>
      </c>
      <c r="C132" s="901" t="str">
        <f>IFERROR((SUMIF(Energy!$B$81:$B$110,"="&amp;A132,Energy!$R$81:$R$110))/(VLOOKUP(A132, Buildings!$B$12:$L$41,11,0)),"")</f>
        <v/>
      </c>
      <c r="D132" s="901" t="str">
        <f>IFERROR((SUMIF(Energy!$B$113:$B$142,"="&amp;A132,Energy!$R$113:$R$142))/(VLOOKUP(A132, Buildings!$B$12:$L$41,11,0)),"")</f>
        <v/>
      </c>
      <c r="E132" s="901" t="str">
        <f>IFERROR((SUMIF(Energy!$B$145:$B$174,"="&amp;A132,Energy!$R$145:$R$174))/(VLOOKUP(A132, Buildings!$B$12:$L$41,11,0)),"")</f>
        <v/>
      </c>
      <c r="F132" s="901" t="str">
        <f>IFERROR((SUMIF(Energy!$B$177:$B$226,"="&amp;A132,Energy!$R$177:$R$226))/(VLOOKUP(A132, Buildings!$B$12:$L$41,11,0)),"")</f>
        <v/>
      </c>
      <c r="G132" s="901" t="str">
        <f>IFERROR((SUMIF(Energy!$B$229:$B$258,"="&amp;A132,Energy!$R$229:$R$258))/(VLOOKUP(A132, Buildings!$B$12:$L$41,11,0)),"")</f>
        <v/>
      </c>
      <c r="H132" s="901" t="str">
        <f>IFERROR(SUMIF('Refrigerant gases'!$A$12:$A$55,"="&amp;A132,'Refrigerant gases'!$T$12:$T$55)/(VLOOKUP(A132, Buildings!$B$12:$L$41,11,0)),"")</f>
        <v/>
      </c>
      <c r="I132" s="905">
        <f t="shared" si="6"/>
        <v>0</v>
      </c>
    </row>
    <row r="133" spans="1:9" x14ac:dyDescent="0.35">
      <c r="A133" s="1247">
        <f>Buildings!B19</f>
        <v>0</v>
      </c>
      <c r="B133" s="901" t="str">
        <f>IFERROR((SUMIF(Energy!$B$16:$B$46,"="&amp;A133,Energy!$R$16:$R$46))/(VLOOKUP(A133, Buildings!$B$12:$L$41,11,0)),"")</f>
        <v/>
      </c>
      <c r="C133" s="901" t="str">
        <f>IFERROR((SUMIF(Energy!$B$81:$B$110,"="&amp;A133,Energy!$R$81:$R$110))/(VLOOKUP(A133, Buildings!$B$12:$L$41,11,0)),"")</f>
        <v/>
      </c>
      <c r="D133" s="901" t="str">
        <f>IFERROR((SUMIF(Energy!$B$113:$B$142,"="&amp;A133,Energy!$R$113:$R$142))/(VLOOKUP(A133, Buildings!$B$12:$L$41,11,0)),"")</f>
        <v/>
      </c>
      <c r="E133" s="901" t="str">
        <f>IFERROR((SUMIF(Energy!$B$145:$B$174,"="&amp;A133,Energy!$R$145:$R$174))/(VLOOKUP(A133, Buildings!$B$12:$L$41,11,0)),"")</f>
        <v/>
      </c>
      <c r="F133" s="901" t="str">
        <f>IFERROR((SUMIF(Energy!$B$177:$B$226,"="&amp;A133,Energy!$R$177:$R$226))/(VLOOKUP(A133, Buildings!$B$12:$L$41,11,0)),"")</f>
        <v/>
      </c>
      <c r="G133" s="901" t="str">
        <f>IFERROR((SUMIF(Energy!$B$229:$B$258,"="&amp;A133,Energy!$R$229:$R$258))/(VLOOKUP(A133, Buildings!$B$12:$L$41,11,0)),"")</f>
        <v/>
      </c>
      <c r="H133" s="901" t="str">
        <f>IFERROR(SUMIF('Refrigerant gases'!$A$12:$A$55,"="&amp;A133,'Refrigerant gases'!$T$12:$T$55)/(VLOOKUP(A133, Buildings!$B$12:$L$41,11,0)),"")</f>
        <v/>
      </c>
      <c r="I133" s="905">
        <f t="shared" si="6"/>
        <v>0</v>
      </c>
    </row>
    <row r="134" spans="1:9" x14ac:dyDescent="0.35">
      <c r="A134" s="1247">
        <f>Buildings!B20</f>
        <v>0</v>
      </c>
      <c r="B134" s="901" t="str">
        <f>IFERROR((SUMIF(Energy!$B$16:$B$46,"="&amp;A134,Energy!$R$16:$R$46))/(VLOOKUP(A134, Buildings!$B$12:$L$41,11,0)),"")</f>
        <v/>
      </c>
      <c r="C134" s="901" t="str">
        <f>IFERROR((SUMIF(Energy!$B$81:$B$110,"="&amp;A134,Energy!$R$81:$R$110))/(VLOOKUP(A134, Buildings!$B$12:$L$41,11,0)),"")</f>
        <v/>
      </c>
      <c r="D134" s="901" t="str">
        <f>IFERROR((SUMIF(Energy!$B$113:$B$142,"="&amp;A134,Energy!$R$113:$R$142))/(VLOOKUP(A134, Buildings!$B$12:$L$41,11,0)),"")</f>
        <v/>
      </c>
      <c r="E134" s="901" t="str">
        <f>IFERROR((SUMIF(Energy!$B$145:$B$174,"="&amp;A134,Energy!$R$145:$R$174))/(VLOOKUP(A134, Buildings!$B$12:$L$41,11,0)),"")</f>
        <v/>
      </c>
      <c r="F134" s="901" t="str">
        <f>IFERROR((SUMIF(Energy!$B$177:$B$226,"="&amp;A134,Energy!$R$177:$R$226))/(VLOOKUP(A134, Buildings!$B$12:$L$41,11,0)),"")</f>
        <v/>
      </c>
      <c r="G134" s="901" t="str">
        <f>IFERROR((SUMIF(Energy!$B$229:$B$258,"="&amp;A134,Energy!$R$229:$R$258))/(VLOOKUP(A134, Buildings!$B$12:$L$41,11,0)),"")</f>
        <v/>
      </c>
      <c r="H134" s="901" t="str">
        <f>IFERROR(SUMIF('Refrigerant gases'!$A$12:$A$55,"="&amp;A134,'Refrigerant gases'!$T$12:$T$55)/(VLOOKUP(A134, Buildings!$B$12:$L$41,11,0)),"")</f>
        <v/>
      </c>
      <c r="I134" s="905">
        <f t="shared" si="6"/>
        <v>0</v>
      </c>
    </row>
    <row r="135" spans="1:9" x14ac:dyDescent="0.35">
      <c r="A135" s="1247">
        <f>Buildings!B21</f>
        <v>0</v>
      </c>
      <c r="B135" s="901" t="str">
        <f>IFERROR((SUMIF(Energy!$B$16:$B$46,"="&amp;A135,Energy!$R$16:$R$46))/(VLOOKUP(A135, Buildings!$B$12:$L$41,11,0)),"")</f>
        <v/>
      </c>
      <c r="C135" s="901" t="str">
        <f>IFERROR((SUMIF(Energy!$B$81:$B$110,"="&amp;A135,Energy!$R$81:$R$110))/(VLOOKUP(A135, Buildings!$B$12:$L$41,11,0)),"")</f>
        <v/>
      </c>
      <c r="D135" s="901" t="str">
        <f>IFERROR((SUMIF(Energy!$B$113:$B$142,"="&amp;A135,Energy!$R$113:$R$142))/(VLOOKUP(A135, Buildings!$B$12:$L$41,11,0)),"")</f>
        <v/>
      </c>
      <c r="E135" s="901" t="str">
        <f>IFERROR((SUMIF(Energy!$B$145:$B$174,"="&amp;A135,Energy!$R$145:$R$174))/(VLOOKUP(A135, Buildings!$B$12:$L$41,11,0)),"")</f>
        <v/>
      </c>
      <c r="F135" s="901" t="str">
        <f>IFERROR((SUMIF(Energy!$B$177:$B$226,"="&amp;A135,Energy!$R$177:$R$226))/(VLOOKUP(A135, Buildings!$B$12:$L$41,11,0)),"")</f>
        <v/>
      </c>
      <c r="G135" s="901" t="str">
        <f>IFERROR((SUMIF(Energy!$B$229:$B$258,"="&amp;A135,Energy!$R$229:$R$258))/(VLOOKUP(A135, Buildings!$B$12:$L$41,11,0)),"")</f>
        <v/>
      </c>
      <c r="H135" s="901" t="str">
        <f>IFERROR(SUMIF('Refrigerant gases'!$A$12:$A$55,"="&amp;A135,'Refrigerant gases'!$T$12:$T$55)/(VLOOKUP(A135, Buildings!$B$12:$L$41,11,0)),"")</f>
        <v/>
      </c>
      <c r="I135" s="905">
        <f t="shared" si="6"/>
        <v>0</v>
      </c>
    </row>
    <row r="136" spans="1:9" x14ac:dyDescent="0.35">
      <c r="A136" s="1247">
        <f>Buildings!B22</f>
        <v>0</v>
      </c>
      <c r="B136" s="901" t="str">
        <f>IFERROR((SUMIF(Energy!$B$16:$B$46,"="&amp;A136,Energy!$R$16:$R$46))/(VLOOKUP(A136, Buildings!$B$12:$L$41,11,0)),"")</f>
        <v/>
      </c>
      <c r="C136" s="901" t="str">
        <f>IFERROR((SUMIF(Energy!$B$81:$B$110,"="&amp;A136,Energy!$R$81:$R$110))/(VLOOKUP(A136, Buildings!$B$12:$L$41,11,0)),"")</f>
        <v/>
      </c>
      <c r="D136" s="901" t="str">
        <f>IFERROR((SUMIF(Energy!$B$113:$B$142,"="&amp;A136,Energy!$R$113:$R$142))/(VLOOKUP(A136, Buildings!$B$12:$L$41,11,0)),"")</f>
        <v/>
      </c>
      <c r="E136" s="901" t="str">
        <f>IFERROR((SUMIF(Energy!$B$145:$B$174,"="&amp;A136,Energy!$R$145:$R$174))/(VLOOKUP(A136, Buildings!$B$12:$L$41,11,0)),"")</f>
        <v/>
      </c>
      <c r="F136" s="901" t="str">
        <f>IFERROR((SUMIF(Energy!$B$177:$B$226,"="&amp;A136,Energy!$R$177:$R$226))/(VLOOKUP(A136, Buildings!$B$12:$L$41,11,0)),"")</f>
        <v/>
      </c>
      <c r="G136" s="901" t="str">
        <f>IFERROR((SUMIF(Energy!$B$229:$B$258,"="&amp;A136,Energy!$R$229:$R$258))/(VLOOKUP(A136, Buildings!$B$12:$L$41,11,0)),"")</f>
        <v/>
      </c>
      <c r="H136" s="901" t="str">
        <f>IFERROR(SUMIF('Refrigerant gases'!$A$12:$A$55,"="&amp;A136,'Refrigerant gases'!$T$12:$T$55)/(VLOOKUP(A136, Buildings!$B$12:$L$41,11,0)),"")</f>
        <v/>
      </c>
      <c r="I136" s="905">
        <f t="shared" si="6"/>
        <v>0</v>
      </c>
    </row>
    <row r="137" spans="1:9" x14ac:dyDescent="0.35">
      <c r="A137" s="1247">
        <f>Buildings!B23</f>
        <v>0</v>
      </c>
      <c r="B137" s="901" t="str">
        <f>IFERROR((SUMIF(Energy!$B$16:$B$46,"="&amp;A137,Energy!$R$16:$R$46))/(VLOOKUP(A137, Buildings!$B$12:$L$41,11,0)),"")</f>
        <v/>
      </c>
      <c r="C137" s="901" t="str">
        <f>IFERROR((SUMIF(Energy!$B$81:$B$110,"="&amp;A137,Energy!$R$81:$R$110))/(VLOOKUP(A137, Buildings!$B$12:$L$41,11,0)),"")</f>
        <v/>
      </c>
      <c r="D137" s="901" t="str">
        <f>IFERROR((SUMIF(Energy!$B$113:$B$142,"="&amp;A137,Energy!$R$113:$R$142))/(VLOOKUP(A137, Buildings!$B$12:$L$41,11,0)),"")</f>
        <v/>
      </c>
      <c r="E137" s="901" t="str">
        <f>IFERROR((SUMIF(Energy!$B$145:$B$174,"="&amp;A137,Energy!$R$145:$R$174))/(VLOOKUP(A137, Buildings!$B$12:$L$41,11,0)),"")</f>
        <v/>
      </c>
      <c r="F137" s="901" t="str">
        <f>IFERROR((SUMIF(Energy!$B$177:$B$226,"="&amp;A137,Energy!$R$177:$R$226))/(VLOOKUP(A137, Buildings!$B$12:$L$41,11,0)),"")</f>
        <v/>
      </c>
      <c r="G137" s="901" t="str">
        <f>IFERROR((SUMIF(Energy!$B$229:$B$258,"="&amp;A137,Energy!$R$229:$R$258))/(VLOOKUP(A137, Buildings!$B$12:$L$41,11,0)),"")</f>
        <v/>
      </c>
      <c r="H137" s="901" t="str">
        <f>IFERROR(SUMIF('Refrigerant gases'!$A$12:$A$55,"="&amp;A137,'Refrigerant gases'!$T$12:$T$55)/(VLOOKUP(A137, Buildings!$B$12:$L$41,11,0)),"")</f>
        <v/>
      </c>
      <c r="I137" s="905">
        <f t="shared" si="6"/>
        <v>0</v>
      </c>
    </row>
    <row r="138" spans="1:9" x14ac:dyDescent="0.35">
      <c r="A138" s="1247">
        <f>Buildings!B24</f>
        <v>0</v>
      </c>
      <c r="B138" s="901" t="str">
        <f>IFERROR((SUMIF(Energy!$B$16:$B$46,"="&amp;A138,Energy!$R$16:$R$46))/(VLOOKUP(A138, Buildings!$B$12:$L$41,11,0)),"")</f>
        <v/>
      </c>
      <c r="C138" s="901" t="str">
        <f>IFERROR((SUMIF(Energy!$B$81:$B$110,"="&amp;A138,Energy!$R$81:$R$110))/(VLOOKUP(A138, Buildings!$B$12:$L$41,11,0)),"")</f>
        <v/>
      </c>
      <c r="D138" s="901" t="str">
        <f>IFERROR((SUMIF(Energy!$B$113:$B$142,"="&amp;A138,Energy!$R$113:$R$142))/(VLOOKUP(A138, Buildings!$B$12:$L$41,11,0)),"")</f>
        <v/>
      </c>
      <c r="E138" s="901" t="str">
        <f>IFERROR((SUMIF(Energy!$B$145:$B$174,"="&amp;A138,Energy!$R$145:$R$174))/(VLOOKUP(A138, Buildings!$B$12:$L$41,11,0)),"")</f>
        <v/>
      </c>
      <c r="F138" s="901" t="str">
        <f>IFERROR((SUMIF(Energy!$B$177:$B$226,"="&amp;A138,Energy!$R$177:$R$226))/(VLOOKUP(A138, Buildings!$B$12:$L$41,11,0)),"")</f>
        <v/>
      </c>
      <c r="G138" s="901" t="str">
        <f>IFERROR((SUMIF(Energy!$B$229:$B$258,"="&amp;A138,Energy!$R$229:$R$258))/(VLOOKUP(A138, Buildings!$B$12:$L$41,11,0)),"")</f>
        <v/>
      </c>
      <c r="H138" s="901" t="str">
        <f>IFERROR(SUMIF('Refrigerant gases'!$A$12:$A$55,"="&amp;A138,'Refrigerant gases'!$T$12:$T$55)/(VLOOKUP(A138, Buildings!$B$12:$L$41,11,0)),"")</f>
        <v/>
      </c>
      <c r="I138" s="905">
        <f t="shared" si="6"/>
        <v>0</v>
      </c>
    </row>
    <row r="139" spans="1:9" x14ac:dyDescent="0.35">
      <c r="A139" s="1247">
        <f>Buildings!B25</f>
        <v>0</v>
      </c>
      <c r="B139" s="901" t="str">
        <f>IFERROR((SUMIF(Energy!$B$16:$B$46,"="&amp;A139,Energy!$R$16:$R$46))/(VLOOKUP(A139, Buildings!$B$12:$L$41,11,0)),"")</f>
        <v/>
      </c>
      <c r="C139" s="901" t="str">
        <f>IFERROR((SUMIF(Energy!$B$81:$B$110,"="&amp;A139,Energy!$R$81:$R$110))/(VLOOKUP(A139, Buildings!$B$12:$L$41,11,0)),"")</f>
        <v/>
      </c>
      <c r="D139" s="901" t="str">
        <f>IFERROR((SUMIF(Energy!$B$113:$B$142,"="&amp;A139,Energy!$R$113:$R$142))/(VLOOKUP(A139, Buildings!$B$12:$L$41,11,0)),"")</f>
        <v/>
      </c>
      <c r="E139" s="901" t="str">
        <f>IFERROR((SUMIF(Energy!$B$145:$B$174,"="&amp;A139,Energy!$R$145:$R$174))/(VLOOKUP(A139, Buildings!$B$12:$L$41,11,0)),"")</f>
        <v/>
      </c>
      <c r="F139" s="901" t="str">
        <f>IFERROR((SUMIF(Energy!$B$177:$B$226,"="&amp;A139,Energy!$R$177:$R$226))/(VLOOKUP(A139, Buildings!$B$12:$L$41,11,0)),"")</f>
        <v/>
      </c>
      <c r="G139" s="901" t="str">
        <f>IFERROR((SUMIF(Energy!$B$229:$B$258,"="&amp;A139,Energy!$R$229:$R$258))/(VLOOKUP(A139, Buildings!$B$12:$L$41,11,0)),"")</f>
        <v/>
      </c>
      <c r="H139" s="901" t="str">
        <f>IFERROR(SUMIF('Refrigerant gases'!$A$12:$A$55,"="&amp;A139,'Refrigerant gases'!$T$12:$T$55)/(VLOOKUP(A139, Buildings!$B$12:$L$41,11,0)),"")</f>
        <v/>
      </c>
      <c r="I139" s="905">
        <f t="shared" si="6"/>
        <v>0</v>
      </c>
    </row>
    <row r="140" spans="1:9" x14ac:dyDescent="0.35">
      <c r="A140" s="1247">
        <f>Buildings!B26</f>
        <v>0</v>
      </c>
      <c r="B140" s="901" t="str">
        <f>IFERROR((SUMIF(Energy!$B$16:$B$46,"="&amp;A140,Energy!$R$16:$R$46))/(VLOOKUP(A140, Buildings!$B$12:$L$41,11,0)),"")</f>
        <v/>
      </c>
      <c r="C140" s="901" t="str">
        <f>IFERROR((SUMIF(Energy!$B$81:$B$110,"="&amp;A140,Energy!$R$81:$R$110))/(VLOOKUP(A140, Buildings!$B$12:$L$41,11,0)),"")</f>
        <v/>
      </c>
      <c r="D140" s="901" t="str">
        <f>IFERROR((SUMIF(Energy!$B$113:$B$142,"="&amp;A140,Energy!$R$113:$R$142))/(VLOOKUP(A140, Buildings!$B$12:$L$41,11,0)),"")</f>
        <v/>
      </c>
      <c r="E140" s="901" t="str">
        <f>IFERROR((SUMIF(Energy!$B$145:$B$174,"="&amp;A140,Energy!$R$145:$R$174))/(VLOOKUP(A140, Buildings!$B$12:$L$41,11,0)),"")</f>
        <v/>
      </c>
      <c r="F140" s="901" t="str">
        <f>IFERROR((SUMIF(Energy!$B$177:$B$226,"="&amp;A140,Energy!$R$177:$R$226))/(VLOOKUP(A140, Buildings!$B$12:$L$41,11,0)),"")</f>
        <v/>
      </c>
      <c r="G140" s="901" t="str">
        <f>IFERROR((SUMIF(Energy!$B$229:$B$258,"="&amp;A140,Energy!$R$229:$R$258))/(VLOOKUP(A140, Buildings!$B$12:$L$41,11,0)),"")</f>
        <v/>
      </c>
      <c r="H140" s="901" t="str">
        <f>IFERROR(SUMIF('Refrigerant gases'!$A$12:$A$55,"="&amp;A140,'Refrigerant gases'!$T$12:$T$55)/(VLOOKUP(A140, Buildings!$B$12:$L$41,11,0)),"")</f>
        <v/>
      </c>
      <c r="I140" s="905">
        <f t="shared" si="6"/>
        <v>0</v>
      </c>
    </row>
    <row r="141" spans="1:9" x14ac:dyDescent="0.35">
      <c r="A141" s="1247">
        <f>Buildings!B27</f>
        <v>0</v>
      </c>
      <c r="B141" s="901" t="str">
        <f>IFERROR((SUMIF(Energy!$B$16:$B$46,"="&amp;A141,Energy!$R$16:$R$46))/(VLOOKUP(A141, Buildings!$B$12:$L$41,11,0)),"")</f>
        <v/>
      </c>
      <c r="C141" s="901" t="str">
        <f>IFERROR((SUMIF(Energy!$B$81:$B$110,"="&amp;A141,Energy!$R$81:$R$110))/(VLOOKUP(A141, Buildings!$B$12:$L$41,11,0)),"")</f>
        <v/>
      </c>
      <c r="D141" s="901" t="str">
        <f>IFERROR((SUMIF(Energy!$B$113:$B$142,"="&amp;A141,Energy!$R$113:$R$142))/(VLOOKUP(A141, Buildings!$B$12:$L$41,11,0)),"")</f>
        <v/>
      </c>
      <c r="E141" s="901" t="str">
        <f>IFERROR((SUMIF(Energy!$B$145:$B$174,"="&amp;A141,Energy!$R$145:$R$174))/(VLOOKUP(A141, Buildings!$B$12:$L$41,11,0)),"")</f>
        <v/>
      </c>
      <c r="F141" s="901" t="str">
        <f>IFERROR((SUMIF(Energy!$B$177:$B$226,"="&amp;A141,Energy!$R$177:$R$226))/(VLOOKUP(A141, Buildings!$B$12:$L$41,11,0)),"")</f>
        <v/>
      </c>
      <c r="G141" s="901" t="str">
        <f>IFERROR((SUMIF(Energy!$B$229:$B$258,"="&amp;A141,Energy!$R$229:$R$258))/(VLOOKUP(A141, Buildings!$B$12:$L$41,11,0)),"")</f>
        <v/>
      </c>
      <c r="H141" s="901" t="str">
        <f>IFERROR(SUMIF('Refrigerant gases'!$A$12:$A$55,"="&amp;A141,'Refrigerant gases'!$T$12:$T$55)/(VLOOKUP(A141, Buildings!$B$12:$L$41,11,0)),"")</f>
        <v/>
      </c>
      <c r="I141" s="905">
        <f t="shared" si="6"/>
        <v>0</v>
      </c>
    </row>
    <row r="142" spans="1:9" x14ac:dyDescent="0.35">
      <c r="A142" s="1247">
        <f>Buildings!B28</f>
        <v>0</v>
      </c>
      <c r="B142" s="901" t="str">
        <f>IFERROR((SUMIF(Energy!$B$16:$B$46,"="&amp;A142,Energy!$R$16:$R$46))/(VLOOKUP(A142, Buildings!$B$12:$L$41,11,0)),"")</f>
        <v/>
      </c>
      <c r="C142" s="901" t="str">
        <f>IFERROR((SUMIF(Energy!$B$81:$B$110,"="&amp;A142,Energy!$R$81:$R$110))/(VLOOKUP(A142, Buildings!$B$12:$L$41,11,0)),"")</f>
        <v/>
      </c>
      <c r="D142" s="901" t="str">
        <f>IFERROR((SUMIF(Energy!$B$113:$B$142,"="&amp;A142,Energy!$R$113:$R$142))/(VLOOKUP(A142, Buildings!$B$12:$L$41,11,0)),"")</f>
        <v/>
      </c>
      <c r="E142" s="901" t="str">
        <f>IFERROR((SUMIF(Energy!$B$145:$B$174,"="&amp;A142,Energy!$R$145:$R$174))/(VLOOKUP(A142, Buildings!$B$12:$L$41,11,0)),"")</f>
        <v/>
      </c>
      <c r="F142" s="901" t="str">
        <f>IFERROR((SUMIF(Energy!$B$177:$B$226,"="&amp;A142,Energy!$R$177:$R$226))/(VLOOKUP(A142, Buildings!$B$12:$L$41,11,0)),"")</f>
        <v/>
      </c>
      <c r="G142" s="901" t="str">
        <f>IFERROR((SUMIF(Energy!$B$229:$B$258,"="&amp;A142,Energy!$R$229:$R$258))/(VLOOKUP(A142, Buildings!$B$12:$L$41,11,0)),"")</f>
        <v/>
      </c>
      <c r="H142" s="901" t="str">
        <f>IFERROR(SUMIF('Refrigerant gases'!$A$12:$A$55,"="&amp;A142,'Refrigerant gases'!$T$12:$T$55)/(VLOOKUP(A142, Buildings!$B$12:$L$41,11,0)),"")</f>
        <v/>
      </c>
      <c r="I142" s="905">
        <f t="shared" si="6"/>
        <v>0</v>
      </c>
    </row>
    <row r="143" spans="1:9" x14ac:dyDescent="0.35">
      <c r="A143" s="1247">
        <f>Buildings!B29</f>
        <v>0</v>
      </c>
      <c r="B143" s="901" t="str">
        <f>IFERROR((SUMIF(Energy!$B$16:$B$46,"="&amp;A143,Energy!$R$16:$R$46))/(VLOOKUP(A143, Buildings!$B$12:$L$41,11,0)),"")</f>
        <v/>
      </c>
      <c r="C143" s="901" t="str">
        <f>IFERROR((SUMIF(Energy!$B$81:$B$110,"="&amp;A143,Energy!$R$81:$R$110))/(VLOOKUP(A143, Buildings!$B$12:$L$41,11,0)),"")</f>
        <v/>
      </c>
      <c r="D143" s="901" t="str">
        <f>IFERROR((SUMIF(Energy!$B$113:$B$142,"="&amp;A143,Energy!$R$113:$R$142))/(VLOOKUP(A143, Buildings!$B$12:$L$41,11,0)),"")</f>
        <v/>
      </c>
      <c r="E143" s="901" t="str">
        <f>IFERROR((SUMIF(Energy!$B$145:$B$174,"="&amp;A143,Energy!$R$145:$R$174))/(VLOOKUP(A143, Buildings!$B$12:$L$41,11,0)),"")</f>
        <v/>
      </c>
      <c r="F143" s="901" t="str">
        <f>IFERROR((SUMIF(Energy!$B$177:$B$226,"="&amp;A143,Energy!$R$177:$R$226))/(VLOOKUP(A143, Buildings!$B$12:$L$41,11,0)),"")</f>
        <v/>
      </c>
      <c r="G143" s="901" t="str">
        <f>IFERROR((SUMIF(Energy!$B$229:$B$258,"="&amp;A143,Energy!$R$229:$R$258))/(VLOOKUP(A143, Buildings!$B$12:$L$41,11,0)),"")</f>
        <v/>
      </c>
      <c r="H143" s="901" t="str">
        <f>IFERROR(SUMIF('Refrigerant gases'!$A$12:$A$55,"="&amp;A143,'Refrigerant gases'!$T$12:$T$55)/(VLOOKUP(A143, Buildings!$B$12:$L$41,11,0)),"")</f>
        <v/>
      </c>
      <c r="I143" s="905">
        <f t="shared" si="6"/>
        <v>0</v>
      </c>
    </row>
    <row r="144" spans="1:9" x14ac:dyDescent="0.35">
      <c r="A144" s="1247">
        <f>Buildings!B30</f>
        <v>0</v>
      </c>
      <c r="B144" s="901" t="str">
        <f>IFERROR((SUMIF(Energy!$B$16:$B$46,"="&amp;A144,Energy!$R$16:$R$46))/(VLOOKUP(A144, Buildings!$B$12:$L$41,11,0)),"")</f>
        <v/>
      </c>
      <c r="C144" s="901" t="str">
        <f>IFERROR((SUMIF(Energy!$B$81:$B$110,"="&amp;A144,Energy!$R$81:$R$110))/(VLOOKUP(A144, Buildings!$B$12:$L$41,11,0)),"")</f>
        <v/>
      </c>
      <c r="D144" s="901" t="str">
        <f>IFERROR((SUMIF(Energy!$B$113:$B$142,"="&amp;A144,Energy!$R$113:$R$142))/(VLOOKUP(A144, Buildings!$B$12:$L$41,11,0)),"")</f>
        <v/>
      </c>
      <c r="E144" s="901" t="str">
        <f>IFERROR((SUMIF(Energy!$B$145:$B$174,"="&amp;A144,Energy!$R$145:$R$174))/(VLOOKUP(A144, Buildings!$B$12:$L$41,11,0)),"")</f>
        <v/>
      </c>
      <c r="F144" s="901" t="str">
        <f>IFERROR((SUMIF(Energy!$B$177:$B$226,"="&amp;A144,Energy!$R$177:$R$226))/(VLOOKUP(A144, Buildings!$B$12:$L$41,11,0)),"")</f>
        <v/>
      </c>
      <c r="G144" s="901" t="str">
        <f>IFERROR((SUMIF(Energy!$B$229:$B$258,"="&amp;A144,Energy!$R$229:$R$258))/(VLOOKUP(A144, Buildings!$B$12:$L$41,11,0)),"")</f>
        <v/>
      </c>
      <c r="H144" s="901" t="str">
        <f>IFERROR(SUMIF('Refrigerant gases'!$A$12:$A$55,"="&amp;A144,'Refrigerant gases'!$T$12:$T$55)/(VLOOKUP(A144, Buildings!$B$12:$L$41,11,0)),"")</f>
        <v/>
      </c>
      <c r="I144" s="905">
        <f t="shared" si="6"/>
        <v>0</v>
      </c>
    </row>
    <row r="145" spans="1:10" x14ac:dyDescent="0.35">
      <c r="A145" s="1247">
        <f>Buildings!B31</f>
        <v>0</v>
      </c>
      <c r="B145" s="901" t="str">
        <f>IFERROR((SUMIF(Energy!$B$16:$B$46,"="&amp;A145,Energy!$R$16:$R$46))/(VLOOKUP(A145, Buildings!$B$12:$L$41,11,0)),"")</f>
        <v/>
      </c>
      <c r="C145" s="901" t="str">
        <f>IFERROR((SUMIF(Energy!$B$81:$B$110,"="&amp;A145,Energy!$R$81:$R$110))/(VLOOKUP(A145, Buildings!$B$12:$L$41,11,0)),"")</f>
        <v/>
      </c>
      <c r="D145" s="901" t="str">
        <f>IFERROR((SUMIF(Energy!$B$113:$B$142,"="&amp;A145,Energy!$R$113:$R$142))/(VLOOKUP(A145, Buildings!$B$12:$L$41,11,0)),"")</f>
        <v/>
      </c>
      <c r="E145" s="901" t="str">
        <f>IFERROR((SUMIF(Energy!$B$145:$B$174,"="&amp;A145,Energy!$R$145:$R$174))/(VLOOKUP(A145, Buildings!$B$12:$L$41,11,0)),"")</f>
        <v/>
      </c>
      <c r="F145" s="901" t="str">
        <f>IFERROR((SUMIF(Energy!$B$177:$B$226,"="&amp;A145,Energy!$R$177:$R$226))/(VLOOKUP(A145, Buildings!$B$12:$L$41,11,0)),"")</f>
        <v/>
      </c>
      <c r="G145" s="901" t="str">
        <f>IFERROR((SUMIF(Energy!$B$229:$B$258,"="&amp;A145,Energy!$R$229:$R$258))/(VLOOKUP(A145, Buildings!$B$12:$L$41,11,0)),"")</f>
        <v/>
      </c>
      <c r="H145" s="901" t="str">
        <f>IFERROR(SUMIF('Refrigerant gases'!$A$12:$A$55,"="&amp;A145,'Refrigerant gases'!$T$12:$T$55)/(VLOOKUP(A145, Buildings!$B$12:$L$41,11,0)),"")</f>
        <v/>
      </c>
      <c r="I145" s="905">
        <f t="shared" si="6"/>
        <v>0</v>
      </c>
    </row>
    <row r="146" spans="1:10" x14ac:dyDescent="0.35">
      <c r="A146" s="1247">
        <f>Buildings!B32</f>
        <v>0</v>
      </c>
      <c r="B146" s="901" t="str">
        <f>IFERROR((SUMIF(Energy!$B$16:$B$46,"="&amp;A146,Energy!$R$16:$R$46))/(VLOOKUP(A146, Buildings!$B$12:$L$41,11,0)),"")</f>
        <v/>
      </c>
      <c r="C146" s="901" t="str">
        <f>IFERROR((SUMIF(Energy!$B$81:$B$110,"="&amp;A146,Energy!$R$81:$R$110))/(VLOOKUP(A146, Buildings!$B$12:$L$41,11,0)),"")</f>
        <v/>
      </c>
      <c r="D146" s="901" t="str">
        <f>IFERROR((SUMIF(Energy!$B$113:$B$142,"="&amp;A146,Energy!$R$113:$R$142))/(VLOOKUP(A146, Buildings!$B$12:$L$41,11,0)),"")</f>
        <v/>
      </c>
      <c r="E146" s="901" t="str">
        <f>IFERROR((SUMIF(Energy!$B$145:$B$174,"="&amp;A146,Energy!$R$145:$R$174))/(VLOOKUP(A146, Buildings!$B$12:$L$41,11,0)),"")</f>
        <v/>
      </c>
      <c r="F146" s="901" t="str">
        <f>IFERROR((SUMIF(Energy!$B$177:$B$226,"="&amp;A146,Energy!$R$177:$R$226))/(VLOOKUP(A146, Buildings!$B$12:$L$41,11,0)),"")</f>
        <v/>
      </c>
      <c r="G146" s="901" t="str">
        <f>IFERROR((SUMIF(Energy!$B$229:$B$258,"="&amp;A146,Energy!$R$229:$R$258))/(VLOOKUP(A146, Buildings!$B$12:$L$41,11,0)),"")</f>
        <v/>
      </c>
      <c r="H146" s="901" t="str">
        <f>IFERROR(SUMIF('Refrigerant gases'!$A$12:$A$55,"="&amp;A146,'Refrigerant gases'!$T$12:$T$55)/(VLOOKUP(A146, Buildings!$B$12:$L$41,11,0)),"")</f>
        <v/>
      </c>
      <c r="I146" s="905">
        <f t="shared" si="6"/>
        <v>0</v>
      </c>
    </row>
    <row r="147" spans="1:10" x14ac:dyDescent="0.35">
      <c r="A147" s="1247">
        <f>Buildings!B33</f>
        <v>0</v>
      </c>
      <c r="B147" s="901" t="str">
        <f>IFERROR((SUMIF(Energy!$B$16:$B$46,"="&amp;A147,Energy!$R$16:$R$46))/(VLOOKUP(A147, Buildings!$B$12:$L$41,11,0)),"")</f>
        <v/>
      </c>
      <c r="C147" s="901" t="str">
        <f>IFERROR((SUMIF(Energy!$B$81:$B$110,"="&amp;A147,Energy!$R$81:$R$110))/(VLOOKUP(A147, Buildings!$B$12:$L$41,11,0)),"")</f>
        <v/>
      </c>
      <c r="D147" s="901" t="str">
        <f>IFERROR((SUMIF(Energy!$B$113:$B$142,"="&amp;A147,Energy!$R$113:$R$142))/(VLOOKUP(A147, Buildings!$B$12:$L$41,11,0)),"")</f>
        <v/>
      </c>
      <c r="E147" s="901" t="str">
        <f>IFERROR((SUMIF(Energy!$B$145:$B$174,"="&amp;A147,Energy!$R$145:$R$174))/(VLOOKUP(A147, Buildings!$B$12:$L$41,11,0)),"")</f>
        <v/>
      </c>
      <c r="F147" s="901" t="str">
        <f>IFERROR((SUMIF(Energy!$B$177:$B$226,"="&amp;A147,Energy!$R$177:$R$226))/(VLOOKUP(A147, Buildings!$B$12:$L$41,11,0)),"")</f>
        <v/>
      </c>
      <c r="G147" s="901" t="str">
        <f>IFERROR((SUMIF(Energy!$B$229:$B$258,"="&amp;A147,Energy!$R$229:$R$258))/(VLOOKUP(A147, Buildings!$B$12:$L$41,11,0)),"")</f>
        <v/>
      </c>
      <c r="H147" s="901" t="str">
        <f>IFERROR(SUMIF('Refrigerant gases'!$A$12:$A$55,"="&amp;A147,'Refrigerant gases'!$T$12:$T$55)/(VLOOKUP(A147, Buildings!$B$12:$L$41,11,0)),"")</f>
        <v/>
      </c>
      <c r="I147" s="905">
        <f t="shared" si="6"/>
        <v>0</v>
      </c>
    </row>
    <row r="148" spans="1:10" x14ac:dyDescent="0.35">
      <c r="A148" s="1247">
        <f>Buildings!B34</f>
        <v>0</v>
      </c>
      <c r="B148" s="901" t="str">
        <f>IFERROR((SUMIF(Energy!$B$16:$B$46,"="&amp;A148,Energy!$R$16:$R$46))/(VLOOKUP(A148, Buildings!$B$12:$L$41,11,0)),"")</f>
        <v/>
      </c>
      <c r="C148" s="901" t="str">
        <f>IFERROR((SUMIF(Energy!$B$81:$B$110,"="&amp;A148,Energy!$R$81:$R$110))/(VLOOKUP(A148, Buildings!$B$12:$L$41,11,0)),"")</f>
        <v/>
      </c>
      <c r="D148" s="901" t="str">
        <f>IFERROR((SUMIF(Energy!$B$113:$B$142,"="&amp;A148,Energy!$R$113:$R$142))/(VLOOKUP(A148, Buildings!$B$12:$L$41,11,0)),"")</f>
        <v/>
      </c>
      <c r="E148" s="901" t="str">
        <f>IFERROR((SUMIF(Energy!$B$145:$B$174,"="&amp;A148,Energy!$R$145:$R$174))/(VLOOKUP(A148, Buildings!$B$12:$L$41,11,0)),"")</f>
        <v/>
      </c>
      <c r="F148" s="901" t="str">
        <f>IFERROR((SUMIF(Energy!$B$177:$B$226,"="&amp;A148,Energy!$R$177:$R$226))/(VLOOKUP(A148, Buildings!$B$12:$L$41,11,0)),"")</f>
        <v/>
      </c>
      <c r="G148" s="901" t="str">
        <f>IFERROR((SUMIF(Energy!$B$229:$B$258,"="&amp;A148,Energy!$R$229:$R$258))/(VLOOKUP(A148, Buildings!$B$12:$L$41,11,0)),"")</f>
        <v/>
      </c>
      <c r="H148" s="901" t="str">
        <f>IFERROR(SUMIF('Refrigerant gases'!$A$12:$A$55,"="&amp;A148,'Refrigerant gases'!$T$12:$T$55)/(VLOOKUP(A148, Buildings!$B$12:$L$41,11,0)),"")</f>
        <v/>
      </c>
      <c r="I148" s="905">
        <f t="shared" si="6"/>
        <v>0</v>
      </c>
    </row>
    <row r="149" spans="1:10" x14ac:dyDescent="0.35">
      <c r="A149" s="1247">
        <f>Buildings!B35</f>
        <v>0</v>
      </c>
      <c r="B149" s="901" t="str">
        <f>IFERROR((SUMIF(Energy!$B$16:$B$46,"="&amp;A149,Energy!$R$16:$R$46))/(VLOOKUP(A149, Buildings!$B$12:$L$41,11,0)),"")</f>
        <v/>
      </c>
      <c r="C149" s="901" t="str">
        <f>IFERROR((SUMIF(Energy!$B$81:$B$110,"="&amp;A149,Energy!$R$81:$R$110))/(VLOOKUP(A149, Buildings!$B$12:$L$41,11,0)),"")</f>
        <v/>
      </c>
      <c r="D149" s="901" t="str">
        <f>IFERROR((SUMIF(Energy!$B$113:$B$142,"="&amp;A149,Energy!$R$113:$R$142))/(VLOOKUP(A149, Buildings!$B$12:$L$41,11,0)),"")</f>
        <v/>
      </c>
      <c r="E149" s="901" t="str">
        <f>IFERROR((SUMIF(Energy!$B$145:$B$174,"="&amp;A149,Energy!$R$145:$R$174))/(VLOOKUP(A149, Buildings!$B$12:$L$41,11,0)),"")</f>
        <v/>
      </c>
      <c r="F149" s="901" t="str">
        <f>IFERROR((SUMIF(Energy!$B$177:$B$226,"="&amp;A149,Energy!$R$177:$R$226))/(VLOOKUP(A149, Buildings!$B$12:$L$41,11,0)),"")</f>
        <v/>
      </c>
      <c r="G149" s="901" t="str">
        <f>IFERROR((SUMIF(Energy!$B$229:$B$258,"="&amp;A149,Energy!$R$229:$R$258))/(VLOOKUP(A149, Buildings!$B$12:$L$41,11,0)),"")</f>
        <v/>
      </c>
      <c r="H149" s="901" t="str">
        <f>IFERROR(SUMIF('Refrigerant gases'!$A$12:$A$55,"="&amp;A149,'Refrigerant gases'!$T$12:$T$55)/(VLOOKUP(A149, Buildings!$B$12:$L$41,11,0)),"")</f>
        <v/>
      </c>
      <c r="I149" s="905">
        <f t="shared" si="6"/>
        <v>0</v>
      </c>
    </row>
    <row r="150" spans="1:10" x14ac:dyDescent="0.35">
      <c r="A150" s="1247">
        <f>Buildings!B36</f>
        <v>0</v>
      </c>
      <c r="B150" s="901" t="str">
        <f>IFERROR((SUMIF(Energy!$B$16:$B$46,"="&amp;A150,Energy!$R$16:$R$46))/(VLOOKUP(A150, Buildings!$B$12:$L$41,11,0)),"")</f>
        <v/>
      </c>
      <c r="C150" s="901" t="str">
        <f>IFERROR((SUMIF(Energy!$B$81:$B$110,"="&amp;A150,Energy!$R$81:$R$110))/(VLOOKUP(A150, Buildings!$B$12:$L$41,11,0)),"")</f>
        <v/>
      </c>
      <c r="D150" s="901" t="str">
        <f>IFERROR((SUMIF(Energy!$B$113:$B$142,"="&amp;A150,Energy!$R$113:$R$142))/(VLOOKUP(A150, Buildings!$B$12:$L$41,11,0)),"")</f>
        <v/>
      </c>
      <c r="E150" s="901" t="str">
        <f>IFERROR((SUMIF(Energy!$B$145:$B$174,"="&amp;A150,Energy!$R$145:$R$174))/(VLOOKUP(A150, Buildings!$B$12:$L$41,11,0)),"")</f>
        <v/>
      </c>
      <c r="F150" s="901" t="str">
        <f>IFERROR((SUMIF(Energy!$B$177:$B$226,"="&amp;A150,Energy!$R$177:$R$226))/(VLOOKUP(A150, Buildings!$B$12:$L$41,11,0)),"")</f>
        <v/>
      </c>
      <c r="G150" s="901" t="str">
        <f>IFERROR((SUMIF(Energy!$B$229:$B$258,"="&amp;A150,Energy!$R$229:$R$258))/(VLOOKUP(A150, Buildings!$B$12:$L$41,11,0)),"")</f>
        <v/>
      </c>
      <c r="H150" s="901" t="str">
        <f>IFERROR(SUMIF('Refrigerant gases'!$A$12:$A$55,"="&amp;A150,'Refrigerant gases'!$T$12:$T$55)/(VLOOKUP(A150, Buildings!$B$12:$L$41,11,0)),"")</f>
        <v/>
      </c>
      <c r="I150" s="905">
        <f t="shared" si="6"/>
        <v>0</v>
      </c>
    </row>
    <row r="151" spans="1:10" x14ac:dyDescent="0.35">
      <c r="A151" s="1247">
        <f>Buildings!B37</f>
        <v>0</v>
      </c>
      <c r="B151" s="901" t="str">
        <f>IFERROR((SUMIF(Energy!$B$16:$B$46,"="&amp;A151,Energy!$R$16:$R$46))/(VLOOKUP(A151, Buildings!$B$12:$L$41,11,0)),"")</f>
        <v/>
      </c>
      <c r="C151" s="901" t="str">
        <f>IFERROR((SUMIF(Energy!$B$81:$B$110,"="&amp;A151,Energy!$R$81:$R$110))/(VLOOKUP(A151, Buildings!$B$12:$L$41,11,0)),"")</f>
        <v/>
      </c>
      <c r="D151" s="901" t="str">
        <f>IFERROR((SUMIF(Energy!$B$113:$B$142,"="&amp;A151,Energy!$R$113:$R$142))/(VLOOKUP(A151, Buildings!$B$12:$L$41,11,0)),"")</f>
        <v/>
      </c>
      <c r="E151" s="901" t="str">
        <f>IFERROR((SUMIF(Energy!$B$145:$B$174,"="&amp;A151,Energy!$R$145:$R$174))/(VLOOKUP(A151, Buildings!$B$12:$L$41,11,0)),"")</f>
        <v/>
      </c>
      <c r="F151" s="901" t="str">
        <f>IFERROR((SUMIF(Energy!$B$177:$B$226,"="&amp;A151,Energy!$R$177:$R$226))/(VLOOKUP(A151, Buildings!$B$12:$L$41,11,0)),"")</f>
        <v/>
      </c>
      <c r="G151" s="901" t="str">
        <f>IFERROR((SUMIF(Energy!$B$229:$B$258,"="&amp;A151,Energy!$R$229:$R$258))/(VLOOKUP(A151, Buildings!$B$12:$L$41,11,0)),"")</f>
        <v/>
      </c>
      <c r="H151" s="901" t="str">
        <f>IFERROR(SUMIF('Refrigerant gases'!$A$12:$A$55,"="&amp;A151,'Refrigerant gases'!$T$12:$T$55)/(VLOOKUP(A151, Buildings!$B$12:$L$41,11,0)),"")</f>
        <v/>
      </c>
      <c r="I151" s="905">
        <f t="shared" si="6"/>
        <v>0</v>
      </c>
    </row>
    <row r="152" spans="1:10" x14ac:dyDescent="0.35">
      <c r="A152" s="1247">
        <f>Buildings!B38</f>
        <v>0</v>
      </c>
      <c r="B152" s="901" t="str">
        <f>IFERROR((SUMIF(Energy!$B$16:$B$46,"="&amp;A152,Energy!$R$16:$R$46))/(VLOOKUP(A152, Buildings!$B$12:$L$41,11,0)),"")</f>
        <v/>
      </c>
      <c r="C152" s="901" t="str">
        <f>IFERROR((SUMIF(Energy!$B$81:$B$110,"="&amp;A152,Energy!$R$81:$R$110))/(VLOOKUP(A152, Buildings!$B$12:$L$41,11,0)),"")</f>
        <v/>
      </c>
      <c r="D152" s="901" t="str">
        <f>IFERROR((SUMIF(Energy!$B$113:$B$142,"="&amp;A152,Energy!$R$113:$R$142))/(VLOOKUP(A152, Buildings!$B$12:$L$41,11,0)),"")</f>
        <v/>
      </c>
      <c r="E152" s="901" t="str">
        <f>IFERROR((SUMIF(Energy!$B$145:$B$174,"="&amp;A152,Energy!$R$145:$R$174))/(VLOOKUP(A152, Buildings!$B$12:$L$41,11,0)),"")</f>
        <v/>
      </c>
      <c r="F152" s="901" t="str">
        <f>IFERROR((SUMIF(Energy!$B$177:$B$226,"="&amp;A152,Energy!$R$177:$R$226))/(VLOOKUP(A152, Buildings!$B$12:$L$41,11,0)),"")</f>
        <v/>
      </c>
      <c r="G152" s="901" t="str">
        <f>IFERROR((SUMIF(Energy!$B$229:$B$258,"="&amp;A152,Energy!$R$229:$R$258))/(VLOOKUP(A152, Buildings!$B$12:$L$41,11,0)),"")</f>
        <v/>
      </c>
      <c r="H152" s="901" t="str">
        <f>IFERROR(SUMIF('Refrigerant gases'!$A$12:$A$55,"="&amp;A152,'Refrigerant gases'!$T$12:$T$55)/(VLOOKUP(A152, Buildings!$B$12:$L$41,11,0)),"")</f>
        <v/>
      </c>
      <c r="I152" s="905">
        <f t="shared" si="6"/>
        <v>0</v>
      </c>
    </row>
    <row r="153" spans="1:10" x14ac:dyDescent="0.35">
      <c r="A153" s="1247">
        <f>Buildings!B39</f>
        <v>0</v>
      </c>
      <c r="B153" s="901" t="str">
        <f>IFERROR((SUMIF(Energy!$B$16:$B$46,"="&amp;A153,Energy!$R$16:$R$46))/(VLOOKUP(A153, Buildings!$B$12:$L$41,11,0)),"")</f>
        <v/>
      </c>
      <c r="C153" s="901" t="str">
        <f>IFERROR((SUMIF(Energy!$B$81:$B$110,"="&amp;A153,Energy!$R$81:$R$110))/(VLOOKUP(A153, Buildings!$B$12:$L$41,11,0)),"")</f>
        <v/>
      </c>
      <c r="D153" s="901" t="str">
        <f>IFERROR((SUMIF(Energy!$B$113:$B$142,"="&amp;A153,Energy!$R$113:$R$142))/(VLOOKUP(A153, Buildings!$B$12:$L$41,11,0)),"")</f>
        <v/>
      </c>
      <c r="E153" s="901" t="str">
        <f>IFERROR((SUMIF(Energy!$B$145:$B$174,"="&amp;A153,Energy!$R$145:$R$174))/(VLOOKUP(A153, Buildings!$B$12:$L$41,11,0)),"")</f>
        <v/>
      </c>
      <c r="F153" s="901" t="str">
        <f>IFERROR((SUMIF(Energy!$B$177:$B$226,"="&amp;A153,Energy!$R$177:$R$226))/(VLOOKUP(A153, Buildings!$B$12:$L$41,11,0)),"")</f>
        <v/>
      </c>
      <c r="G153" s="901" t="str">
        <f>IFERROR((SUMIF(Energy!$B$229:$B$258,"="&amp;A153,Energy!$R$229:$R$258))/(VLOOKUP(A153, Buildings!$B$12:$L$41,11,0)),"")</f>
        <v/>
      </c>
      <c r="H153" s="901" t="str">
        <f>IFERROR(SUMIF('Refrigerant gases'!$A$12:$A$55,"="&amp;A153,'Refrigerant gases'!$T$12:$T$55)/(VLOOKUP(A153, Buildings!$B$12:$L$41,11,0)),"")</f>
        <v/>
      </c>
      <c r="I153" s="905">
        <f t="shared" si="6"/>
        <v>0</v>
      </c>
    </row>
    <row r="154" spans="1:10" x14ac:dyDescent="0.35">
      <c r="A154" s="1247">
        <f>Buildings!B40</f>
        <v>0</v>
      </c>
      <c r="B154" s="901" t="str">
        <f>IFERROR((SUMIF(Energy!$B$16:$B$46,"="&amp;A154,Energy!$R$16:$R$46))/(VLOOKUP(A154, Buildings!$B$12:$L$41,11,0)),"")</f>
        <v/>
      </c>
      <c r="C154" s="901" t="str">
        <f>IFERROR((SUMIF(Energy!$B$81:$B$110,"="&amp;A154,Energy!$R$81:$R$110))/(VLOOKUP(A154, Buildings!$B$12:$L$41,11,0)),"")</f>
        <v/>
      </c>
      <c r="D154" s="901" t="str">
        <f>IFERROR((SUMIF(Energy!$B$113:$B$142,"="&amp;A154,Energy!$R$113:$R$142))/(VLOOKUP(A154, Buildings!$B$12:$L$41,11,0)),"")</f>
        <v/>
      </c>
      <c r="E154" s="901" t="str">
        <f>IFERROR((SUMIF(Energy!$B$145:$B$174,"="&amp;A154,Energy!$R$145:$R$174))/(VLOOKUP(A154, Buildings!$B$12:$L$41,11,0)),"")</f>
        <v/>
      </c>
      <c r="F154" s="901" t="str">
        <f>IFERROR((SUMIF(Energy!$B$177:$B$226,"="&amp;A154,Energy!$R$177:$R$226))/(VLOOKUP(A154, Buildings!$B$12:$L$41,11,0)),"")</f>
        <v/>
      </c>
      <c r="G154" s="901" t="str">
        <f>IFERROR((SUMIF(Energy!$B$229:$B$258,"="&amp;A154,Energy!$R$229:$R$258))/(VLOOKUP(A154, Buildings!$B$12:$L$41,11,0)),"")</f>
        <v/>
      </c>
      <c r="H154" s="901" t="str">
        <f>IFERROR(SUMIF('Refrigerant gases'!$A$12:$A$55,"="&amp;A154,'Refrigerant gases'!$T$12:$T$55)/(VLOOKUP(A154, Buildings!$B$12:$L$41,11,0)),"")</f>
        <v/>
      </c>
      <c r="I154" s="905">
        <f t="shared" si="6"/>
        <v>0</v>
      </c>
    </row>
    <row r="155" spans="1:10" ht="15" thickBot="1" x14ac:dyDescent="0.4">
      <c r="A155" s="1247">
        <f>Buildings!B41</f>
        <v>0</v>
      </c>
      <c r="B155" s="901" t="str">
        <f>IFERROR((SUMIF(Energy!$B$16:$B$46,"="&amp;A155,Energy!$R$16:$R$46))/(VLOOKUP(A155, Buildings!$B$12:$L$41,11,0)),"")</f>
        <v/>
      </c>
      <c r="C155" s="901" t="str">
        <f>IFERROR((SUMIF(Energy!$B$81:$B$110,"="&amp;A155,Energy!$R$81:$R$110))/(VLOOKUP(A155, Buildings!$B$12:$L$41,11,0)),"")</f>
        <v/>
      </c>
      <c r="D155" s="901" t="str">
        <f>IFERROR((SUMIF(Energy!$B$113:$B$142,"="&amp;A155,Energy!$R$113:$R$142))/(VLOOKUP(A155, Buildings!$B$12:$L$41,11,0)),"")</f>
        <v/>
      </c>
      <c r="E155" s="901" t="str">
        <f>IFERROR((SUMIF(Energy!$B$145:$B$174,"="&amp;A155,Energy!$R$145:$R$174))/(VLOOKUP(A155, Buildings!$B$12:$L$41,11,0)),"")</f>
        <v/>
      </c>
      <c r="F155" s="901" t="str">
        <f>IFERROR((SUMIF(Energy!$B$177:$B$226,"="&amp;A155,Energy!$R$177:$R$226))/(VLOOKUP(A155, Buildings!$B$12:$L$41,11,0)),"")</f>
        <v/>
      </c>
      <c r="G155" s="901" t="str">
        <f>IFERROR((SUMIF(Energy!$B$229:$B$258,"="&amp;A155,Energy!$R$229:$R$258))/(VLOOKUP(A155, Buildings!$B$12:$L$41,11,0)),"")</f>
        <v/>
      </c>
      <c r="H155" s="901" t="str">
        <f>IFERROR(SUMIF('Refrigerant gases'!$A$12:$A$55,"="&amp;A155,'Refrigerant gases'!$T$12:$T$55)/(VLOOKUP(A155, Buildings!$B$12:$L$41,11,0)),"")</f>
        <v/>
      </c>
      <c r="I155" s="909">
        <f>SUM(B155:H155)</f>
        <v>0</v>
      </c>
    </row>
    <row r="156" spans="1:10" ht="15" thickBot="1" x14ac:dyDescent="0.4">
      <c r="A156" s="1248" t="s">
        <v>274</v>
      </c>
      <c r="B156" s="907">
        <f t="shared" ref="B156:H156" si="7">IFERROR(AVERAGE(B123:B155),"")</f>
        <v>0</v>
      </c>
      <c r="C156" s="907">
        <f t="shared" si="7"/>
        <v>0</v>
      </c>
      <c r="D156" s="907">
        <f t="shared" si="7"/>
        <v>0</v>
      </c>
      <c r="E156" s="907">
        <f t="shared" si="7"/>
        <v>0</v>
      </c>
      <c r="F156" s="907">
        <f t="shared" si="7"/>
        <v>0</v>
      </c>
      <c r="G156" s="907">
        <f t="shared" si="7"/>
        <v>0</v>
      </c>
      <c r="H156" s="910">
        <f t="shared" si="7"/>
        <v>0</v>
      </c>
      <c r="I156" s="911">
        <f>AVERAGE(I123:I155)</f>
        <v>0</v>
      </c>
    </row>
    <row r="158" spans="1:10" ht="15" thickBot="1" x14ac:dyDescent="0.4"/>
    <row r="159" spans="1:10" ht="15" thickBot="1" x14ac:dyDescent="0.4">
      <c r="B159" s="1694" t="s">
        <v>275</v>
      </c>
      <c r="C159" s="1695"/>
      <c r="D159" s="1695"/>
      <c r="E159" s="1695"/>
      <c r="F159" s="1696"/>
      <c r="H159" s="6"/>
      <c r="I159" s="6"/>
      <c r="J159" s="6"/>
    </row>
    <row r="160" spans="1:10" ht="44" thickBot="1" x14ac:dyDescent="0.4">
      <c r="A160" s="856" t="s">
        <v>246</v>
      </c>
      <c r="B160" s="854" t="s">
        <v>276</v>
      </c>
      <c r="C160" s="855" t="s">
        <v>277</v>
      </c>
      <c r="D160" s="855" t="s">
        <v>278</v>
      </c>
      <c r="E160" s="855" t="s">
        <v>279</v>
      </c>
      <c r="F160" s="860" t="s">
        <v>280</v>
      </c>
      <c r="G160" s="847"/>
    </row>
    <row r="161" spans="1:7" x14ac:dyDescent="0.35">
      <c r="A161" s="1247" t="str">
        <f>Buildings!B9</f>
        <v>Several sites</v>
      </c>
      <c r="B161" s="900">
        <f>IFERROR(SUMIF('Water '!$A$14:$A$57,"="&amp;A161,'Water '!$M$14:$M$57),"")</f>
        <v>0</v>
      </c>
      <c r="C161" s="900">
        <f>IFERROR(SUMIF(Waste!$A$17:$A$108,"="&amp;A161,Waste!$L$17:$L$108),"")</f>
        <v>0</v>
      </c>
      <c r="D161" s="900">
        <f>IFERROR(SUMIF('Construction materials'!$A$11:$A$60,"="&amp;A161,'Construction materials'!$D$11:$D$60),"")</f>
        <v>0</v>
      </c>
      <c r="E161" s="900">
        <f>IFERROR(SUMIF('Travel-Other vehicles'!$A$12:$A$59,"="&amp;A161,'Travel-Other vehicles'!$E$12:$E$59),"")</f>
        <v>0</v>
      </c>
      <c r="F161" s="900">
        <f>IFERROR(SUMIF(Energy!$B$49:$B$78,"="&amp;A161,Energy!$E$49:$E$78),"")</f>
        <v>0</v>
      </c>
      <c r="G161" s="1261"/>
    </row>
    <row r="162" spans="1:7" x14ac:dyDescent="0.35">
      <c r="A162" s="1247" t="str">
        <f>Buildings!B10</f>
        <v>Across all sites</v>
      </c>
      <c r="B162" s="900">
        <f>IFERROR(SUMIF('Water '!$A$14:$A$57,"="&amp;A162,'Water '!$M$14:$M$57),"")</f>
        <v>0</v>
      </c>
      <c r="C162" s="900">
        <f>IFERROR(SUMIF(Waste!$A$17:$A$108,"="&amp;A162,Waste!$L$17:$L$108),"")</f>
        <v>0</v>
      </c>
      <c r="D162" s="900">
        <f>IFERROR(SUMIF('Construction materials'!$A$11:$A$60,"="&amp;A162,'Construction materials'!$D$11:$D$60),"")</f>
        <v>0</v>
      </c>
      <c r="E162" s="900">
        <f>IFERROR(SUMIF('Travel-Other vehicles'!$A$12:$A$59,"="&amp;A162,'Travel-Other vehicles'!$E$12:$E$59),"")</f>
        <v>0</v>
      </c>
      <c r="F162" s="900">
        <f>IFERROR(SUMIF(Energy!$B$49:$B$78,"="&amp;A162,Energy!$E$49:$E$78),"")</f>
        <v>0</v>
      </c>
      <c r="G162" s="1261"/>
    </row>
    <row r="163" spans="1:7" x14ac:dyDescent="0.35">
      <c r="A163" s="1247" t="str">
        <f>Buildings!B11</f>
        <v>Not linked to a site</v>
      </c>
      <c r="B163" s="900">
        <f>IFERROR(SUMIF('Water '!$A$14:$A$57,"="&amp;A163,'Water '!$M$14:$M$57),"")</f>
        <v>0</v>
      </c>
      <c r="C163" s="900">
        <f>IFERROR(SUMIF(Waste!$A$17:$A$108,"="&amp;A163,Waste!$L$17:$L$108),"")</f>
        <v>0</v>
      </c>
      <c r="D163" s="900">
        <f>IFERROR(SUMIF('Construction materials'!$A$11:$A$60,"="&amp;A163,'Construction materials'!$D$11:$D$60),"")</f>
        <v>0</v>
      </c>
      <c r="E163" s="900">
        <f>IFERROR(SUMIF('Travel-Other vehicles'!$A$12:$A$59,"="&amp;A163,'Travel-Other vehicles'!$E$12:$E$59),"")</f>
        <v>0</v>
      </c>
      <c r="F163" s="900">
        <f>IFERROR(SUMIF(Energy!$B$49:$B$78,"="&amp;A163,Energy!$E$49:$E$78),"")</f>
        <v>0</v>
      </c>
      <c r="G163" s="1261"/>
    </row>
    <row r="164" spans="1:7" x14ac:dyDescent="0.35">
      <c r="A164" s="1247" t="str">
        <f>Buildings!B12</f>
        <v>Laudium</v>
      </c>
      <c r="B164" s="900">
        <f>IFERROR(SUMIF('Water '!$A$14:$A$57,"="&amp;A164,'Water '!$M$14:$M$57),"")</f>
        <v>0</v>
      </c>
      <c r="C164" s="900">
        <f>IFERROR(SUMIF(Waste!$A$17:$A$108,"="&amp;A164,Waste!$L$17:$L$108),"")</f>
        <v>0</v>
      </c>
      <c r="D164" s="900">
        <f>IFERROR(SUMIF('Construction materials'!$A$11:$A$60,"="&amp;A164,'Construction materials'!$D$11:$D$60),"")</f>
        <v>0</v>
      </c>
      <c r="E164" s="900">
        <f>IFERROR(SUMIF('Travel-Other vehicles'!$A$12:$A$59,"="&amp;A164,'Travel-Other vehicles'!$E$12:$E$59),"")</f>
        <v>36316</v>
      </c>
      <c r="F164" s="900">
        <f>IFERROR(SUMIF(Energy!$B$49:$B$78,"="&amp;A164,Energy!$E$49:$E$78),"")</f>
        <v>600</v>
      </c>
      <c r="G164" s="1261"/>
    </row>
    <row r="165" spans="1:7" x14ac:dyDescent="0.35">
      <c r="A165" s="1247" t="str">
        <f>Buildings!B13</f>
        <v>Stanza</v>
      </c>
      <c r="B165" s="900">
        <f>IFERROR(SUMIF('Water '!$A$14:$A$57,"="&amp;A165,'Water '!$M$14:$M$57),"")</f>
        <v>0</v>
      </c>
      <c r="C165" s="900">
        <f>IFERROR(SUMIF(Waste!$A$17:$A$108,"="&amp;A165,Waste!$L$17:$L$108),"")</f>
        <v>0</v>
      </c>
      <c r="D165" s="900">
        <f>IFERROR(SUMIF('Construction materials'!$A$11:$A$60,"="&amp;A165,'Construction materials'!$D$11:$D$60),"")</f>
        <v>0</v>
      </c>
      <c r="E165" s="900">
        <f>IFERROR(SUMIF('Travel-Other vehicles'!$A$12:$A$59,"="&amp;A165,'Travel-Other vehicles'!$E$12:$E$59),"")</f>
        <v>0</v>
      </c>
      <c r="F165" s="900">
        <f>IFERROR(SUMIF(Energy!$B$49:$B$78,"="&amp;A165,Energy!$E$49:$E$78),"")</f>
        <v>0</v>
      </c>
      <c r="G165" s="1261"/>
    </row>
    <row r="166" spans="1:7" x14ac:dyDescent="0.35">
      <c r="A166" s="1247">
        <f>Buildings!B14</f>
        <v>0</v>
      </c>
      <c r="B166" s="900">
        <f>IFERROR(SUMIF('Water '!$A$14:$A$57,"="&amp;A166,'Water '!$M$14:$M$57),"")</f>
        <v>0</v>
      </c>
      <c r="C166" s="900">
        <f>IFERROR(SUMIF(Waste!$A$17:$A$108,"="&amp;A166,Waste!$L$17:$L$108),"")</f>
        <v>0</v>
      </c>
      <c r="D166" s="900">
        <f>IFERROR(SUMIF('Construction materials'!$A$11:$A$60,"="&amp;A166,'Construction materials'!$D$11:$D$60),"")</f>
        <v>0</v>
      </c>
      <c r="E166" s="900">
        <f>IFERROR(SUMIF('Travel-Other vehicles'!$A$12:$A$59,"="&amp;A166,'Travel-Other vehicles'!$E$12:$E$59),"")</f>
        <v>0</v>
      </c>
      <c r="F166" s="900">
        <f>IFERROR(SUMIF(Energy!$B$49:$B$78,"="&amp;A166,Energy!$E$49:$E$78),"")</f>
        <v>0</v>
      </c>
      <c r="G166" s="1261"/>
    </row>
    <row r="167" spans="1:7" x14ac:dyDescent="0.35">
      <c r="A167" s="1247">
        <f>Buildings!B15</f>
        <v>0</v>
      </c>
      <c r="B167" s="900">
        <f>IFERROR(SUMIF('Water '!$A$14:$A$57,"="&amp;A167,'Water '!$M$14:$M$57),"")</f>
        <v>0</v>
      </c>
      <c r="C167" s="900">
        <f>IFERROR(SUMIF(Waste!$A$17:$A$108,"="&amp;A167,Waste!$L$17:$L$108),"")</f>
        <v>0</v>
      </c>
      <c r="D167" s="900">
        <f>IFERROR(SUMIF('Construction materials'!$A$11:$A$60,"="&amp;A167,'Construction materials'!$D$11:$D$60),"")</f>
        <v>0</v>
      </c>
      <c r="E167" s="900">
        <f>IFERROR(SUMIF('Travel-Other vehicles'!$A$12:$A$59,"="&amp;A167,'Travel-Other vehicles'!$E$12:$E$59),"")</f>
        <v>0</v>
      </c>
      <c r="F167" s="900">
        <f>IFERROR(SUMIF(Energy!$B$49:$B$78,"="&amp;A167,Energy!$E$49:$E$78),"")</f>
        <v>0</v>
      </c>
      <c r="G167" s="1261"/>
    </row>
    <row r="168" spans="1:7" x14ac:dyDescent="0.35">
      <c r="A168" s="1247">
        <f>Buildings!B16</f>
        <v>0</v>
      </c>
      <c r="B168" s="900">
        <f>IFERROR(SUMIF('Water '!$A$14:$A$57,"="&amp;A168,'Water '!$M$14:$M$57),"")</f>
        <v>0</v>
      </c>
      <c r="C168" s="900">
        <f>IFERROR(SUMIF(Waste!$A$17:$A$108,"="&amp;A168,Waste!$L$17:$L$108),"")</f>
        <v>0</v>
      </c>
      <c r="D168" s="900">
        <f>IFERROR(SUMIF('Construction materials'!$A$11:$A$60,"="&amp;A168,'Construction materials'!$D$11:$D$60),"")</f>
        <v>0</v>
      </c>
      <c r="E168" s="900">
        <f>IFERROR(SUMIF('Travel-Other vehicles'!$A$12:$A$59,"="&amp;A168,'Travel-Other vehicles'!$E$12:$E$59),"")</f>
        <v>0</v>
      </c>
      <c r="F168" s="900">
        <f>IFERROR(SUMIF(Energy!$B$49:$B$78,"="&amp;A168,Energy!$E$49:$E$78),"")</f>
        <v>0</v>
      </c>
      <c r="G168" s="1261"/>
    </row>
    <row r="169" spans="1:7" x14ac:dyDescent="0.35">
      <c r="A169" s="1247">
        <f>Buildings!B17</f>
        <v>0</v>
      </c>
      <c r="B169" s="900">
        <f>IFERROR(SUMIF('Water '!$A$14:$A$57,"="&amp;A169,'Water '!$M$14:$M$57),"")</f>
        <v>0</v>
      </c>
      <c r="C169" s="900">
        <f>IFERROR(SUMIF(Waste!$A$17:$A$108,"="&amp;A169,Waste!$L$17:$L$108),"")</f>
        <v>0</v>
      </c>
      <c r="D169" s="900">
        <f>IFERROR(SUMIF('Construction materials'!$A$11:$A$60,"="&amp;A169,'Construction materials'!$D$11:$D$60),"")</f>
        <v>0</v>
      </c>
      <c r="E169" s="900">
        <f>IFERROR(SUMIF('Travel-Other vehicles'!$A$12:$A$59,"="&amp;A169,'Travel-Other vehicles'!$E$12:$E$59),"")</f>
        <v>0</v>
      </c>
      <c r="F169" s="900">
        <f>IFERROR(SUMIF(Energy!$B$49:$B$78,"="&amp;A169,Energy!$E$49:$E$78),"")</f>
        <v>0</v>
      </c>
      <c r="G169" s="1261"/>
    </row>
    <row r="170" spans="1:7" x14ac:dyDescent="0.35">
      <c r="A170" s="1247">
        <f>Buildings!B18</f>
        <v>0</v>
      </c>
      <c r="B170" s="900">
        <f>IFERROR(SUMIF('Water '!$A$14:$A$57,"="&amp;A170,'Water '!$M$14:$M$57),"")</f>
        <v>0</v>
      </c>
      <c r="C170" s="900">
        <f>IFERROR(SUMIF(Waste!$A$17:$A$108,"="&amp;A170,Waste!$L$17:$L$108),"")</f>
        <v>0</v>
      </c>
      <c r="D170" s="900">
        <f>IFERROR(SUMIF('Construction materials'!$A$11:$A$60,"="&amp;A170,'Construction materials'!$D$11:$D$60),"")</f>
        <v>0</v>
      </c>
      <c r="E170" s="900">
        <f>IFERROR(SUMIF('Travel-Other vehicles'!$A$12:$A$59,"="&amp;A170,'Travel-Other vehicles'!$E$12:$E$59),"")</f>
        <v>0</v>
      </c>
      <c r="F170" s="900">
        <f>IFERROR(SUMIF(Energy!$B$49:$B$78,"="&amp;A170,Energy!$E$49:$E$78),"")</f>
        <v>0</v>
      </c>
      <c r="G170" s="1261"/>
    </row>
    <row r="171" spans="1:7" x14ac:dyDescent="0.35">
      <c r="A171" s="1247">
        <f>Buildings!B19</f>
        <v>0</v>
      </c>
      <c r="B171" s="900">
        <f>IFERROR(SUMIF('Water '!$A$14:$A$57,"="&amp;A171,'Water '!$M$14:$M$57),"")</f>
        <v>0</v>
      </c>
      <c r="C171" s="900">
        <f>IFERROR(SUMIF(Waste!$A$17:$A$108,"="&amp;A171,Waste!$L$17:$L$108),"")</f>
        <v>0</v>
      </c>
      <c r="D171" s="900">
        <f>IFERROR(SUMIF('Construction materials'!$A$11:$A$60,"="&amp;A171,'Construction materials'!$D$11:$D$60),"")</f>
        <v>0</v>
      </c>
      <c r="E171" s="900">
        <f>IFERROR(SUMIF('Travel-Other vehicles'!$A$12:$A$59,"="&amp;A171,'Travel-Other vehicles'!$E$12:$E$59),"")</f>
        <v>0</v>
      </c>
      <c r="F171" s="900">
        <f>IFERROR(SUMIF(Energy!$B$49:$B$78,"="&amp;A171,Energy!$E$49:$E$78),"")</f>
        <v>0</v>
      </c>
      <c r="G171" s="1261"/>
    </row>
    <row r="172" spans="1:7" x14ac:dyDescent="0.35">
      <c r="A172" s="1247">
        <f>Buildings!B20</f>
        <v>0</v>
      </c>
      <c r="B172" s="900">
        <f>IFERROR(SUMIF('Water '!$A$14:$A$57,"="&amp;A172,'Water '!$M$14:$M$57),"")</f>
        <v>0</v>
      </c>
      <c r="C172" s="900">
        <f>IFERROR(SUMIF(Waste!$A$17:$A$108,"="&amp;A172,Waste!$L$17:$L$108),"")</f>
        <v>0</v>
      </c>
      <c r="D172" s="900">
        <f>IFERROR(SUMIF('Construction materials'!$A$11:$A$60,"="&amp;A172,'Construction materials'!$D$11:$D$60),"")</f>
        <v>0</v>
      </c>
      <c r="E172" s="900">
        <f>IFERROR(SUMIF('Travel-Other vehicles'!$A$12:$A$59,"="&amp;A172,'Travel-Other vehicles'!$E$12:$E$59),"")</f>
        <v>0</v>
      </c>
      <c r="F172" s="900">
        <f>IFERROR(SUMIF(Energy!$B$49:$B$78,"="&amp;A172,Energy!$E$49:$E$78),"")</f>
        <v>0</v>
      </c>
      <c r="G172" s="1261"/>
    </row>
    <row r="173" spans="1:7" x14ac:dyDescent="0.35">
      <c r="A173" s="1247">
        <f>Buildings!B21</f>
        <v>0</v>
      </c>
      <c r="B173" s="900">
        <f>IFERROR(SUMIF('Water '!$A$14:$A$57,"="&amp;A173,'Water '!$M$14:$M$57),"")</f>
        <v>0</v>
      </c>
      <c r="C173" s="900">
        <f>IFERROR(SUMIF(Waste!$A$17:$A$108,"="&amp;A173,Waste!$L$17:$L$108),"")</f>
        <v>0</v>
      </c>
      <c r="D173" s="900">
        <f>IFERROR(SUMIF('Construction materials'!$A$11:$A$60,"="&amp;A173,'Construction materials'!$D$11:$D$60),"")</f>
        <v>0</v>
      </c>
      <c r="E173" s="900">
        <f>IFERROR(SUMIF('Travel-Other vehicles'!$A$12:$A$59,"="&amp;A173,'Travel-Other vehicles'!$E$12:$E$59),"")</f>
        <v>0</v>
      </c>
      <c r="F173" s="900">
        <f>IFERROR(SUMIF(Energy!$B$49:$B$78,"="&amp;A173,Energy!$E$49:$E$78),"")</f>
        <v>0</v>
      </c>
      <c r="G173" s="1261"/>
    </row>
    <row r="174" spans="1:7" x14ac:dyDescent="0.35">
      <c r="A174" s="1247">
        <f>Buildings!B22</f>
        <v>0</v>
      </c>
      <c r="B174" s="900">
        <f>IFERROR(SUMIF('Water '!$A$14:$A$57,"="&amp;A174,'Water '!$M$14:$M$57),"")</f>
        <v>0</v>
      </c>
      <c r="C174" s="900">
        <f>IFERROR(SUMIF(Waste!$A$17:$A$108,"="&amp;A174,Waste!$L$17:$L$108),"")</f>
        <v>0</v>
      </c>
      <c r="D174" s="900">
        <f>IFERROR(SUMIF('Construction materials'!$A$11:$A$60,"="&amp;A174,'Construction materials'!$D$11:$D$60),"")</f>
        <v>0</v>
      </c>
      <c r="E174" s="900">
        <f>IFERROR(SUMIF('Travel-Other vehicles'!$A$12:$A$59,"="&amp;A174,'Travel-Other vehicles'!$E$12:$E$59),"")</f>
        <v>0</v>
      </c>
      <c r="F174" s="900">
        <f>IFERROR(SUMIF(Energy!$B$49:$B$78,"="&amp;A174,Energy!$E$49:$E$78),"")</f>
        <v>0</v>
      </c>
      <c r="G174" s="1261"/>
    </row>
    <row r="175" spans="1:7" x14ac:dyDescent="0.35">
      <c r="A175" s="1247">
        <f>Buildings!B23</f>
        <v>0</v>
      </c>
      <c r="B175" s="900">
        <f>IFERROR(SUMIF('Water '!$A$14:$A$57,"="&amp;A175,'Water '!$M$14:$M$57),"")</f>
        <v>0</v>
      </c>
      <c r="C175" s="900">
        <f>IFERROR(SUMIF(Waste!$A$17:$A$108,"="&amp;A175,Waste!$L$17:$L$108),"")</f>
        <v>0</v>
      </c>
      <c r="D175" s="900">
        <f>IFERROR(SUMIF('Construction materials'!$A$11:$A$60,"="&amp;A175,'Construction materials'!$D$11:$D$60),"")</f>
        <v>0</v>
      </c>
      <c r="E175" s="900">
        <f>IFERROR(SUMIF('Travel-Other vehicles'!$A$12:$A$59,"="&amp;A175,'Travel-Other vehicles'!$E$12:$E$59),"")</f>
        <v>0</v>
      </c>
      <c r="F175" s="900">
        <f>IFERROR(SUMIF(Energy!$B$49:$B$78,"="&amp;A175,Energy!$E$49:$E$78),"")</f>
        <v>0</v>
      </c>
      <c r="G175" s="1261"/>
    </row>
    <row r="176" spans="1:7" x14ac:dyDescent="0.35">
      <c r="A176" s="1247">
        <f>Buildings!B24</f>
        <v>0</v>
      </c>
      <c r="B176" s="900">
        <f>IFERROR(SUMIF('Water '!$A$14:$A$57,"="&amp;A176,'Water '!$M$14:$M$57),"")</f>
        <v>0</v>
      </c>
      <c r="C176" s="900">
        <f>IFERROR(SUMIF(Waste!$A$17:$A$108,"="&amp;A176,Waste!$L$17:$L$108),"")</f>
        <v>0</v>
      </c>
      <c r="D176" s="900">
        <f>IFERROR(SUMIF('Construction materials'!$A$11:$A$60,"="&amp;A176,'Construction materials'!$D$11:$D$60),"")</f>
        <v>0</v>
      </c>
      <c r="E176" s="900">
        <f>IFERROR(SUMIF('Travel-Other vehicles'!$A$12:$A$59,"="&amp;A176,'Travel-Other vehicles'!$E$12:$E$59),"")</f>
        <v>0</v>
      </c>
      <c r="F176" s="900">
        <f>IFERROR(SUMIF(Energy!$B$49:$B$78,"="&amp;A176,Energy!$E$49:$E$78),"")</f>
        <v>0</v>
      </c>
      <c r="G176" s="1261"/>
    </row>
    <row r="177" spans="1:7" x14ac:dyDescent="0.35">
      <c r="A177" s="1247">
        <f>Buildings!B25</f>
        <v>0</v>
      </c>
      <c r="B177" s="900">
        <f>IFERROR(SUMIF('Water '!$A$14:$A$57,"="&amp;A177,'Water '!$M$14:$M$57),"")</f>
        <v>0</v>
      </c>
      <c r="C177" s="900">
        <f>IFERROR(SUMIF(Waste!$A$17:$A$108,"="&amp;A177,Waste!$L$17:$L$108),"")</f>
        <v>0</v>
      </c>
      <c r="D177" s="900">
        <f>IFERROR(SUMIF('Construction materials'!$A$11:$A$60,"="&amp;A177,'Construction materials'!$D$11:$D$60),"")</f>
        <v>0</v>
      </c>
      <c r="E177" s="900">
        <f>IFERROR(SUMIF('Travel-Other vehicles'!$A$12:$A$59,"="&amp;A177,'Travel-Other vehicles'!$E$12:$E$59),"")</f>
        <v>0</v>
      </c>
      <c r="F177" s="900">
        <f>IFERROR(SUMIF(Energy!$B$49:$B$78,"="&amp;A177,Energy!$E$49:$E$78),"")</f>
        <v>0</v>
      </c>
      <c r="G177" s="1261"/>
    </row>
    <row r="178" spans="1:7" x14ac:dyDescent="0.35">
      <c r="A178" s="1247">
        <f>Buildings!B26</f>
        <v>0</v>
      </c>
      <c r="B178" s="900">
        <f>IFERROR(SUMIF('Water '!$A$14:$A$57,"="&amp;A178,'Water '!$M$14:$M$57),"")</f>
        <v>0</v>
      </c>
      <c r="C178" s="900">
        <f>IFERROR(SUMIF(Waste!$A$17:$A$108,"="&amp;A178,Waste!$L$17:$L$108),"")</f>
        <v>0</v>
      </c>
      <c r="D178" s="900">
        <f>IFERROR(SUMIF('Construction materials'!$A$11:$A$60,"="&amp;A178,'Construction materials'!$D$11:$D$60),"")</f>
        <v>0</v>
      </c>
      <c r="E178" s="900">
        <f>IFERROR(SUMIF('Travel-Other vehicles'!$A$12:$A$59,"="&amp;A178,'Travel-Other vehicles'!$E$12:$E$59),"")</f>
        <v>0</v>
      </c>
      <c r="F178" s="900">
        <f>IFERROR(SUMIF(Energy!$B$49:$B$78,"="&amp;A178,Energy!$E$49:$E$78),"")</f>
        <v>0</v>
      </c>
      <c r="G178" s="1261"/>
    </row>
    <row r="179" spans="1:7" x14ac:dyDescent="0.35">
      <c r="A179" s="1247">
        <f>Buildings!B27</f>
        <v>0</v>
      </c>
      <c r="B179" s="900">
        <f>IFERROR(SUMIF('Water '!$A$14:$A$57,"="&amp;A179,'Water '!$M$14:$M$57),"")</f>
        <v>0</v>
      </c>
      <c r="C179" s="900">
        <f>IFERROR(SUMIF(Waste!$A$17:$A$108,"="&amp;A179,Waste!$L$17:$L$108),"")</f>
        <v>0</v>
      </c>
      <c r="D179" s="900">
        <f>IFERROR(SUMIF('Construction materials'!$A$11:$A$60,"="&amp;A179,'Construction materials'!$D$11:$D$60),"")</f>
        <v>0</v>
      </c>
      <c r="E179" s="900">
        <f>IFERROR(SUMIF('Travel-Other vehicles'!$A$12:$A$59,"="&amp;A179,'Travel-Other vehicles'!$E$12:$E$59),"")</f>
        <v>0</v>
      </c>
      <c r="F179" s="900">
        <f>IFERROR(SUMIF(Energy!$B$49:$B$78,"="&amp;A179,Energy!$E$49:$E$78),"")</f>
        <v>0</v>
      </c>
      <c r="G179" s="1261"/>
    </row>
    <row r="180" spans="1:7" x14ac:dyDescent="0.35">
      <c r="A180" s="1247">
        <f>Buildings!B28</f>
        <v>0</v>
      </c>
      <c r="B180" s="900">
        <f>IFERROR(SUMIF('Water '!$A$14:$A$57,"="&amp;A180,'Water '!$M$14:$M$57),"")</f>
        <v>0</v>
      </c>
      <c r="C180" s="900">
        <f>IFERROR(SUMIF(Waste!$A$17:$A$108,"="&amp;A180,Waste!$L$17:$L$108),"")</f>
        <v>0</v>
      </c>
      <c r="D180" s="900">
        <f>IFERROR(SUMIF('Construction materials'!$A$11:$A$60,"="&amp;A180,'Construction materials'!$D$11:$D$60),"")</f>
        <v>0</v>
      </c>
      <c r="E180" s="900">
        <f>IFERROR(SUMIF('Travel-Other vehicles'!$A$12:$A$59,"="&amp;A180,'Travel-Other vehicles'!$E$12:$E$59),"")</f>
        <v>0</v>
      </c>
      <c r="F180" s="900">
        <f>IFERROR(SUMIF(Energy!$B$49:$B$78,"="&amp;A180,Energy!$E$49:$E$78),"")</f>
        <v>0</v>
      </c>
      <c r="G180" s="1261"/>
    </row>
    <row r="181" spans="1:7" x14ac:dyDescent="0.35">
      <c r="A181" s="1247">
        <f>Buildings!B29</f>
        <v>0</v>
      </c>
      <c r="B181" s="900">
        <f>IFERROR(SUMIF('Water '!$A$14:$A$57,"="&amp;A181,'Water '!$M$14:$M$57),"")</f>
        <v>0</v>
      </c>
      <c r="C181" s="900">
        <f>IFERROR(SUMIF(Waste!$A$17:$A$108,"="&amp;A181,Waste!$L$17:$L$108),"")</f>
        <v>0</v>
      </c>
      <c r="D181" s="900">
        <f>IFERROR(SUMIF('Construction materials'!$A$11:$A$60,"="&amp;A181,'Construction materials'!$D$11:$D$60),"")</f>
        <v>0</v>
      </c>
      <c r="E181" s="900">
        <f>IFERROR(SUMIF('Travel-Other vehicles'!$A$12:$A$59,"="&amp;A181,'Travel-Other vehicles'!$E$12:$E$59),"")</f>
        <v>0</v>
      </c>
      <c r="F181" s="900">
        <f>IFERROR(SUMIF(Energy!$B$49:$B$78,"="&amp;A181,Energy!$E$49:$E$78),"")</f>
        <v>0</v>
      </c>
      <c r="G181" s="1261"/>
    </row>
    <row r="182" spans="1:7" x14ac:dyDescent="0.35">
      <c r="A182" s="1247">
        <f>Buildings!B30</f>
        <v>0</v>
      </c>
      <c r="B182" s="900">
        <f>IFERROR(SUMIF('Water '!$A$14:$A$57,"="&amp;A182,'Water '!$M$14:$M$57),"")</f>
        <v>0</v>
      </c>
      <c r="C182" s="900">
        <f>IFERROR(SUMIF(Waste!$A$17:$A$108,"="&amp;A182,Waste!$L$17:$L$108),"")</f>
        <v>0</v>
      </c>
      <c r="D182" s="900">
        <f>IFERROR(SUMIF('Construction materials'!$A$11:$A$60,"="&amp;A182,'Construction materials'!$D$11:$D$60),"")</f>
        <v>0</v>
      </c>
      <c r="E182" s="900">
        <f>IFERROR(SUMIF('Travel-Other vehicles'!$A$12:$A$59,"="&amp;A182,'Travel-Other vehicles'!$E$12:$E$59),"")</f>
        <v>0</v>
      </c>
      <c r="F182" s="900">
        <f>IFERROR(SUMIF(Energy!$B$49:$B$78,"="&amp;A182,Energy!$E$49:$E$78),"")</f>
        <v>0</v>
      </c>
      <c r="G182" s="1261"/>
    </row>
    <row r="183" spans="1:7" x14ac:dyDescent="0.35">
      <c r="A183" s="1247">
        <f>Buildings!B31</f>
        <v>0</v>
      </c>
      <c r="B183" s="900">
        <f>IFERROR(SUMIF('Water '!$A$14:$A$57,"="&amp;A183,'Water '!$M$14:$M$57),"")</f>
        <v>0</v>
      </c>
      <c r="C183" s="900">
        <f>IFERROR(SUMIF(Waste!$A$17:$A$108,"="&amp;A183,Waste!$L$17:$L$108),"")</f>
        <v>0</v>
      </c>
      <c r="D183" s="900">
        <f>IFERROR(SUMIF('Construction materials'!$A$11:$A$60,"="&amp;A183,'Construction materials'!$D$11:$D$60),"")</f>
        <v>0</v>
      </c>
      <c r="E183" s="900">
        <f>IFERROR(SUMIF('Travel-Other vehicles'!$A$12:$A$59,"="&amp;A183,'Travel-Other vehicles'!$E$12:$E$59),"")</f>
        <v>0</v>
      </c>
      <c r="F183" s="900">
        <f>IFERROR(SUMIF(Energy!$B$49:$B$78,"="&amp;A183,Energy!$E$49:$E$78),"")</f>
        <v>0</v>
      </c>
      <c r="G183" s="1261"/>
    </row>
    <row r="184" spans="1:7" x14ac:dyDescent="0.35">
      <c r="A184" s="1247">
        <f>Buildings!B32</f>
        <v>0</v>
      </c>
      <c r="B184" s="900">
        <f>IFERROR(SUMIF('Water '!$A$14:$A$57,"="&amp;A184,'Water '!$M$14:$M$57),"")</f>
        <v>0</v>
      </c>
      <c r="C184" s="900">
        <f>IFERROR(SUMIF(Waste!$A$17:$A$108,"="&amp;A184,Waste!$L$17:$L$108),"")</f>
        <v>0</v>
      </c>
      <c r="D184" s="900">
        <f>IFERROR(SUMIF('Construction materials'!$A$11:$A$60,"="&amp;A184,'Construction materials'!$D$11:$D$60),"")</f>
        <v>0</v>
      </c>
      <c r="E184" s="900">
        <f>IFERROR(SUMIF('Travel-Other vehicles'!$A$12:$A$59,"="&amp;A184,'Travel-Other vehicles'!$E$12:$E$59),"")</f>
        <v>0</v>
      </c>
      <c r="F184" s="900">
        <f>IFERROR(SUMIF(Energy!$B$49:$B$78,"="&amp;A184,Energy!$E$49:$E$78),"")</f>
        <v>0</v>
      </c>
      <c r="G184" s="1261"/>
    </row>
    <row r="185" spans="1:7" x14ac:dyDescent="0.35">
      <c r="A185" s="1247">
        <f>Buildings!B33</f>
        <v>0</v>
      </c>
      <c r="B185" s="900">
        <f>IFERROR(SUMIF('Water '!$A$14:$A$57,"="&amp;A185,'Water '!$M$14:$M$57),"")</f>
        <v>0</v>
      </c>
      <c r="C185" s="900">
        <f>IFERROR(SUMIF(Waste!$A$17:$A$108,"="&amp;A185,Waste!$L$17:$L$108),"")</f>
        <v>0</v>
      </c>
      <c r="D185" s="900">
        <f>IFERROR(SUMIF('Construction materials'!$A$11:$A$60,"="&amp;A185,'Construction materials'!$D$11:$D$60),"")</f>
        <v>0</v>
      </c>
      <c r="E185" s="900">
        <f>IFERROR(SUMIF('Travel-Other vehicles'!$A$12:$A$59,"="&amp;A185,'Travel-Other vehicles'!$E$12:$E$59),"")</f>
        <v>0</v>
      </c>
      <c r="F185" s="900">
        <f>IFERROR(SUMIF(Energy!$B$49:$B$78,"="&amp;A185,Energy!$E$49:$E$78),"")</f>
        <v>0</v>
      </c>
      <c r="G185" s="1261"/>
    </row>
    <row r="186" spans="1:7" x14ac:dyDescent="0.35">
      <c r="A186" s="1247">
        <f>Buildings!B34</f>
        <v>0</v>
      </c>
      <c r="B186" s="900">
        <f>IFERROR(SUMIF('Water '!$A$14:$A$57,"="&amp;A186,'Water '!$M$14:$M$57),"")</f>
        <v>0</v>
      </c>
      <c r="C186" s="900">
        <f>IFERROR(SUMIF(Waste!$A$17:$A$108,"="&amp;A186,Waste!$L$17:$L$108),"")</f>
        <v>0</v>
      </c>
      <c r="D186" s="900">
        <f>IFERROR(SUMIF('Construction materials'!$A$11:$A$60,"="&amp;A186,'Construction materials'!$D$11:$D$60),"")</f>
        <v>0</v>
      </c>
      <c r="E186" s="900">
        <f>IFERROR(SUMIF('Travel-Other vehicles'!$A$12:$A$59,"="&amp;A186,'Travel-Other vehicles'!$E$12:$E$59),"")</f>
        <v>0</v>
      </c>
      <c r="F186" s="900">
        <f>IFERROR(SUMIF(Energy!$B$49:$B$78,"="&amp;A186,Energy!$E$49:$E$78),"")</f>
        <v>0</v>
      </c>
      <c r="G186" s="1261"/>
    </row>
    <row r="187" spans="1:7" x14ac:dyDescent="0.35">
      <c r="A187" s="1247">
        <f>Buildings!B35</f>
        <v>0</v>
      </c>
      <c r="B187" s="900">
        <f>IFERROR(SUMIF('Water '!$A$14:$A$57,"="&amp;A187,'Water '!$M$14:$M$57),"")</f>
        <v>0</v>
      </c>
      <c r="C187" s="900">
        <f>IFERROR(SUMIF(Waste!$A$17:$A$108,"="&amp;A187,Waste!$L$17:$L$108),"")</f>
        <v>0</v>
      </c>
      <c r="D187" s="900">
        <f>IFERROR(SUMIF('Construction materials'!$A$11:$A$60,"="&amp;A187,'Construction materials'!$D$11:$D$60),"")</f>
        <v>0</v>
      </c>
      <c r="E187" s="900">
        <f>IFERROR(SUMIF('Travel-Other vehicles'!$A$12:$A$59,"="&amp;A187,'Travel-Other vehicles'!$E$12:$E$59),"")</f>
        <v>0</v>
      </c>
      <c r="F187" s="900">
        <f>IFERROR(SUMIF(Energy!$B$49:$B$78,"="&amp;A187,Energy!$E$49:$E$78),"")</f>
        <v>0</v>
      </c>
      <c r="G187" s="1261"/>
    </row>
    <row r="188" spans="1:7" x14ac:dyDescent="0.35">
      <c r="A188" s="1247">
        <f>Buildings!B36</f>
        <v>0</v>
      </c>
      <c r="B188" s="900">
        <f>IFERROR(SUMIF('Water '!$A$14:$A$57,"="&amp;A188,'Water '!$M$14:$M$57),"")</f>
        <v>0</v>
      </c>
      <c r="C188" s="900">
        <f>IFERROR(SUMIF(Waste!$A$17:$A$108,"="&amp;A188,Waste!$L$17:$L$108),"")</f>
        <v>0</v>
      </c>
      <c r="D188" s="900">
        <f>IFERROR(SUMIF('Construction materials'!$A$11:$A$60,"="&amp;A188,'Construction materials'!$D$11:$D$60),"")</f>
        <v>0</v>
      </c>
      <c r="E188" s="900">
        <f>IFERROR(SUMIF('Travel-Other vehicles'!$A$12:$A$59,"="&amp;A188,'Travel-Other vehicles'!$E$12:$E$59),"")</f>
        <v>0</v>
      </c>
      <c r="F188" s="900">
        <f>IFERROR(SUMIF(Energy!$B$49:$B$78,"="&amp;A188,Energy!$E$49:$E$78),"")</f>
        <v>0</v>
      </c>
      <c r="G188" s="1261"/>
    </row>
    <row r="189" spans="1:7" x14ac:dyDescent="0.35">
      <c r="A189" s="1247">
        <f>Buildings!B37</f>
        <v>0</v>
      </c>
      <c r="B189" s="900">
        <f>IFERROR(SUMIF('Water '!$A$14:$A$57,"="&amp;A189,'Water '!$M$14:$M$57),"")</f>
        <v>0</v>
      </c>
      <c r="C189" s="900">
        <f>IFERROR(SUMIF(Waste!$A$17:$A$108,"="&amp;A189,Waste!$L$17:$L$108),"")</f>
        <v>0</v>
      </c>
      <c r="D189" s="900">
        <f>IFERROR(SUMIF('Construction materials'!$A$11:$A$60,"="&amp;A189,'Construction materials'!$D$11:$D$60),"")</f>
        <v>0</v>
      </c>
      <c r="E189" s="900">
        <f>IFERROR(SUMIF('Travel-Other vehicles'!$A$12:$A$59,"="&amp;A189,'Travel-Other vehicles'!$E$12:$E$59),"")</f>
        <v>0</v>
      </c>
      <c r="F189" s="900">
        <f>IFERROR(SUMIF(Energy!$B$49:$B$78,"="&amp;A189,Energy!$E$49:$E$78),"")</f>
        <v>0</v>
      </c>
      <c r="G189" s="1261"/>
    </row>
    <row r="190" spans="1:7" x14ac:dyDescent="0.35">
      <c r="A190" s="1247">
        <f>Buildings!B38</f>
        <v>0</v>
      </c>
      <c r="B190" s="900">
        <f>IFERROR(SUMIF('Water '!$A$14:$A$57,"="&amp;A190,'Water '!$M$14:$M$57),"")</f>
        <v>0</v>
      </c>
      <c r="C190" s="900">
        <f>IFERROR(SUMIF(Waste!$A$17:$A$108,"="&amp;A190,Waste!$L$17:$L$108),"")</f>
        <v>0</v>
      </c>
      <c r="D190" s="900">
        <f>IFERROR(SUMIF('Construction materials'!$A$11:$A$60,"="&amp;A190,'Construction materials'!$D$11:$D$60),"")</f>
        <v>0</v>
      </c>
      <c r="E190" s="900">
        <f>IFERROR(SUMIF('Travel-Other vehicles'!$A$12:$A$59,"="&amp;A190,'Travel-Other vehicles'!$E$12:$E$59),"")</f>
        <v>0</v>
      </c>
      <c r="F190" s="900">
        <f>IFERROR(SUMIF(Energy!$B$49:$B$78,"="&amp;A190,Energy!$E$49:$E$78),"")</f>
        <v>0</v>
      </c>
      <c r="G190" s="1261"/>
    </row>
    <row r="191" spans="1:7" x14ac:dyDescent="0.35">
      <c r="A191" s="1247">
        <f>Buildings!B39</f>
        <v>0</v>
      </c>
      <c r="B191" s="900">
        <f>IFERROR(SUMIF('Water '!$A$14:$A$57,"="&amp;A191,'Water '!$M$14:$M$57),"")</f>
        <v>0</v>
      </c>
      <c r="C191" s="900">
        <f>IFERROR(SUMIF(Waste!$A$17:$A$108,"="&amp;A191,Waste!$L$17:$L$108),"")</f>
        <v>0</v>
      </c>
      <c r="D191" s="900">
        <f>IFERROR(SUMIF('Construction materials'!$A$11:$A$60,"="&amp;A191,'Construction materials'!$D$11:$D$60),"")</f>
        <v>0</v>
      </c>
      <c r="E191" s="900">
        <f>IFERROR(SUMIF('Travel-Other vehicles'!$A$12:$A$59,"="&amp;A191,'Travel-Other vehicles'!$E$12:$E$59),"")</f>
        <v>0</v>
      </c>
      <c r="F191" s="900">
        <f>IFERROR(SUMIF(Energy!$B$49:$B$78,"="&amp;A191,Energy!$E$49:$E$78),"")</f>
        <v>0</v>
      </c>
      <c r="G191" s="1261"/>
    </row>
    <row r="192" spans="1:7" x14ac:dyDescent="0.35">
      <c r="A192" s="1247">
        <f>Buildings!B40</f>
        <v>0</v>
      </c>
      <c r="B192" s="900">
        <f>IFERROR(SUMIF('Water '!$A$14:$A$57,"="&amp;A192,'Water '!$M$14:$M$57),"")</f>
        <v>0</v>
      </c>
      <c r="C192" s="900">
        <f>IFERROR(SUMIF(Waste!$A$17:$A$108,"="&amp;A192,Waste!$L$17:$L$108),"")</f>
        <v>0</v>
      </c>
      <c r="D192" s="900">
        <f>IFERROR(SUMIF('Construction materials'!$A$11:$A$60,"="&amp;A192,'Construction materials'!$D$11:$D$60),"")</f>
        <v>0</v>
      </c>
      <c r="E192" s="900">
        <f>IFERROR(SUMIF('Travel-Other vehicles'!$A$12:$A$59,"="&amp;A192,'Travel-Other vehicles'!$E$12:$E$59),"")</f>
        <v>0</v>
      </c>
      <c r="F192" s="900">
        <f>IFERROR(SUMIF(Energy!$B$49:$B$78,"="&amp;A192,Energy!$E$49:$E$78),"")</f>
        <v>0</v>
      </c>
      <c r="G192" s="1261"/>
    </row>
    <row r="193" spans="1:7" ht="15" thickBot="1" x14ac:dyDescent="0.4">
      <c r="A193" s="1247">
        <f>Buildings!B41</f>
        <v>0</v>
      </c>
      <c r="B193" s="900">
        <f>IFERROR(SUMIF('Water '!$A$14:$A$57,"="&amp;A193,'Water '!$M$14:$M$57),"")</f>
        <v>0</v>
      </c>
      <c r="C193" s="900">
        <f>IFERROR(SUMIF(Waste!$A$17:$A$108,"="&amp;A193,Waste!$L$17:$L$108),"")</f>
        <v>0</v>
      </c>
      <c r="D193" s="900">
        <f>IFERROR(SUMIF('Construction materials'!$A$11:$A$60,"="&amp;A193,'Construction materials'!$D$11:$D$60),"")</f>
        <v>0</v>
      </c>
      <c r="E193" s="900">
        <f>IFERROR(SUMIF('Travel-Other vehicles'!$A$12:$A$59,"="&amp;A193,'Travel-Other vehicles'!$E$12:$E$59),"")</f>
        <v>0</v>
      </c>
      <c r="F193" s="900">
        <f>IFERROR(SUMIF(Energy!$B$49:$B$78,"="&amp;A193,Energy!$E$49:$E$78),"")</f>
        <v>0</v>
      </c>
      <c r="G193" s="1261"/>
    </row>
    <row r="194" spans="1:7" ht="15" thickBot="1" x14ac:dyDescent="0.4">
      <c r="A194" s="1248" t="s">
        <v>274</v>
      </c>
      <c r="B194" s="907">
        <f t="shared" ref="B194:F194" si="8">SUM(B161:B193)</f>
        <v>0</v>
      </c>
      <c r="C194" s="908">
        <f t="shared" si="8"/>
        <v>0</v>
      </c>
      <c r="D194" s="908">
        <f t="shared" si="8"/>
        <v>0</v>
      </c>
      <c r="E194" s="908">
        <f t="shared" si="8"/>
        <v>36316</v>
      </c>
      <c r="F194" s="906">
        <f t="shared" si="8"/>
        <v>600</v>
      </c>
      <c r="G194" s="1261"/>
    </row>
  </sheetData>
  <sheetProtection algorithmName="SHA-512" hashValue="4MwEs/R6yd48D99tL9XqfQTRdNPpa2gkG/KuyQmRQTKvjSSlYHMic1pEMNN4n6a3RU9ay3Obkk4joRVR0OrYbg==" saltValue="BkIXsWFPAEXkqmHRnsHNRg==" spinCount="100000" sheet="1" autoFilter="0"/>
  <mergeCells count="11">
    <mergeCell ref="B159:F159"/>
    <mergeCell ref="R1:V3"/>
    <mergeCell ref="W1:W3"/>
    <mergeCell ref="B121:I121"/>
    <mergeCell ref="A1:I3"/>
    <mergeCell ref="B8:P8"/>
    <mergeCell ref="B83:I83"/>
    <mergeCell ref="B45:P45"/>
    <mergeCell ref="K1:L3"/>
    <mergeCell ref="A5:H5"/>
    <mergeCell ref="A6:H6"/>
  </mergeCells>
  <conditionalFormatting sqref="B47:H79 K47:N79 B85:H117 B123:H155">
    <cfRule type="cellIs" dxfId="99" priority="2" operator="lessThan">
      <formula>0.00000000001</formula>
    </cfRule>
  </conditionalFormatting>
  <conditionalFormatting sqref="B47:H79 K47:N79">
    <cfRule type="beginsWith" dxfId="98" priority="6" operator="beginsWith" text="0.00">
      <formula>LEFT(B47,LEN("0.00"))="0.00"</formula>
    </cfRule>
    <cfRule type="colorScale" priority="7">
      <colorScale>
        <cfvo type="min"/>
        <cfvo type="percentile" val="50"/>
        <cfvo type="max"/>
        <color rgb="FF63BE7B"/>
        <color rgb="FFFFEB84"/>
        <color rgb="FFF8696B"/>
      </colorScale>
    </cfRule>
  </conditionalFormatting>
  <conditionalFormatting sqref="B85:H117">
    <cfRule type="colorScale" priority="14">
      <colorScale>
        <cfvo type="min"/>
        <cfvo type="percentile" val="50"/>
        <cfvo type="max"/>
        <color rgb="FF00B050"/>
        <color rgb="FFFFEB84"/>
        <color rgb="FFFF0000"/>
      </colorScale>
    </cfRule>
  </conditionalFormatting>
  <conditionalFormatting sqref="B123:H155">
    <cfRule type="colorScale" priority="15">
      <colorScale>
        <cfvo type="min"/>
        <cfvo type="percentile" val="50"/>
        <cfvo type="max"/>
        <color rgb="FF00B050"/>
        <color rgb="FFFFEB84"/>
        <color rgb="FFFF0000"/>
      </colorScale>
    </cfRule>
  </conditionalFormatting>
  <conditionalFormatting sqref="B10:L42 N10:O42">
    <cfRule type="cellIs" dxfId="97" priority="3" operator="lessThan">
      <formula>0.000001</formula>
    </cfRule>
    <cfRule type="colorScale" priority="11">
      <colorScale>
        <cfvo type="min"/>
        <cfvo type="percentile" val="50"/>
        <cfvo type="max"/>
        <color rgb="FF63BE7B"/>
        <color rgb="FFFFEB84"/>
        <color rgb="FFF8696B"/>
      </colorScale>
    </cfRule>
  </conditionalFormatting>
  <conditionalFormatting sqref="I85:I117 I123:I155">
    <cfRule type="cellIs" dxfId="96" priority="1" operator="lessThan">
      <formula>0.00000001</formula>
    </cfRule>
  </conditionalFormatting>
  <conditionalFormatting sqref="I85:I117">
    <cfRule type="colorScale" priority="5">
      <colorScale>
        <cfvo type="min"/>
        <cfvo type="percentile" val="50"/>
        <cfvo type="max"/>
        <color rgb="FF63BE7B"/>
        <color rgb="FFFFEB84"/>
        <color rgb="FFF8696B"/>
      </colorScale>
    </cfRule>
  </conditionalFormatting>
  <conditionalFormatting sqref="I123:I155">
    <cfRule type="colorScale" priority="4">
      <colorScale>
        <cfvo type="min"/>
        <cfvo type="percentile" val="50"/>
        <cfvo type="max"/>
        <color rgb="FF63BE7B"/>
        <color rgb="FFFFEB84"/>
        <color rgb="FFF8696B"/>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42E06-EA7A-455F-ADBD-E691BC8FBB56}">
  <sheetPr>
    <tabColor theme="4" tint="0.39997558519241921"/>
  </sheetPr>
  <dimension ref="A1:M22"/>
  <sheetViews>
    <sheetView topLeftCell="A7" zoomScale="70" zoomScaleNormal="70" workbookViewId="0">
      <selection activeCell="C11" sqref="C11"/>
    </sheetView>
  </sheetViews>
  <sheetFormatPr defaultRowHeight="14.5" x14ac:dyDescent="0.35"/>
  <cols>
    <col min="1" max="1" width="30.81640625" customWidth="1"/>
    <col min="2" max="2" width="15.26953125" customWidth="1"/>
    <col min="3" max="3" width="19.54296875" customWidth="1"/>
    <col min="11" max="11" width="11.81640625" customWidth="1"/>
    <col min="13" max="13" width="54" bestFit="1" customWidth="1"/>
  </cols>
  <sheetData>
    <row r="1" spans="1:13" ht="15" customHeight="1" x14ac:dyDescent="0.35">
      <c r="A1" s="1567" t="s">
        <v>281</v>
      </c>
      <c r="B1" s="1568"/>
      <c r="C1" s="1568"/>
      <c r="D1" s="1568"/>
      <c r="E1" s="1568"/>
      <c r="F1" s="1568"/>
      <c r="G1" s="1568"/>
      <c r="H1" s="1568"/>
      <c r="I1" s="1568"/>
      <c r="J1" s="1568"/>
      <c r="K1" s="1569"/>
    </row>
    <row r="2" spans="1:13" x14ac:dyDescent="0.35">
      <c r="A2" s="1570"/>
      <c r="B2" s="1571"/>
      <c r="C2" s="1571"/>
      <c r="D2" s="1571"/>
      <c r="E2" s="1571"/>
      <c r="F2" s="1571"/>
      <c r="G2" s="1571"/>
      <c r="H2" s="1571"/>
      <c r="I2" s="1571"/>
      <c r="J2" s="1571"/>
      <c r="K2" s="1572"/>
    </row>
    <row r="3" spans="1:13" ht="15" thickBot="1" x14ac:dyDescent="0.4">
      <c r="A3" s="1573"/>
      <c r="B3" s="1574"/>
      <c r="C3" s="1574"/>
      <c r="D3" s="1574"/>
      <c r="E3" s="1574"/>
      <c r="F3" s="1574"/>
      <c r="G3" s="1574"/>
      <c r="H3" s="1574"/>
      <c r="I3" s="1574"/>
      <c r="J3" s="1574"/>
      <c r="K3" s="1575"/>
    </row>
    <row r="4" spans="1:13" ht="15" thickBot="1" x14ac:dyDescent="0.4"/>
    <row r="5" spans="1:13" s="4" customFormat="1" ht="15" thickBot="1" x14ac:dyDescent="0.4">
      <c r="B5" s="1508" t="s">
        <v>282</v>
      </c>
      <c r="C5" s="1509" t="s">
        <v>283</v>
      </c>
      <c r="D5" s="1730" t="s">
        <v>284</v>
      </c>
      <c r="E5" s="1731"/>
      <c r="F5" s="1731"/>
      <c r="G5" s="1731"/>
      <c r="H5" s="1731"/>
      <c r="I5" s="1731"/>
      <c r="J5" s="1731"/>
      <c r="K5" s="1732"/>
    </row>
    <row r="6" spans="1:13" ht="33" customHeight="1" x14ac:dyDescent="0.35">
      <c r="A6" s="1733" t="s">
        <v>285</v>
      </c>
      <c r="B6" s="1735">
        <f>SUM(Totals!G12,Totals!G13,Totals!G14,Totals!G15,Totals!G16,Totals!G17,Totals!G18,Totals!G20)</f>
        <v>3.4089719999999999</v>
      </c>
      <c r="C6" s="1737">
        <f>'Building Totals &amp; Benchmarking'!P43/1000</f>
        <v>3.4089720000000003</v>
      </c>
      <c r="D6" s="1739" t="s">
        <v>286</v>
      </c>
      <c r="E6" s="1740"/>
      <c r="F6" s="1740"/>
      <c r="G6" s="1740"/>
      <c r="H6" s="1740"/>
      <c r="I6" s="1740"/>
      <c r="J6" s="1740"/>
      <c r="K6" s="1741"/>
    </row>
    <row r="7" spans="1:13" ht="29.25" customHeight="1" x14ac:dyDescent="0.35">
      <c r="A7" s="1734"/>
      <c r="B7" s="1736"/>
      <c r="C7" s="1738"/>
      <c r="D7" s="1742"/>
      <c r="E7" s="1743"/>
      <c r="F7" s="1743"/>
      <c r="G7" s="1743"/>
      <c r="H7" s="1743"/>
      <c r="I7" s="1743"/>
      <c r="J7" s="1743"/>
      <c r="K7" s="1744"/>
    </row>
    <row r="8" spans="1:13" ht="33.75" customHeight="1" x14ac:dyDescent="0.35">
      <c r="A8" s="1734"/>
      <c r="B8" s="1736"/>
      <c r="C8" s="1738"/>
      <c r="D8" s="1742"/>
      <c r="E8" s="1743"/>
      <c r="F8" s="1743"/>
      <c r="G8" s="1743"/>
      <c r="H8" s="1743"/>
      <c r="I8" s="1743"/>
      <c r="J8" s="1743"/>
      <c r="K8" s="1744"/>
    </row>
    <row r="9" spans="1:13" x14ac:dyDescent="0.35">
      <c r="A9" s="1504" t="s">
        <v>287</v>
      </c>
      <c r="B9" s="1510">
        <f>SUM(Energy!B6:B8)</f>
        <v>1.1031040000000001</v>
      </c>
      <c r="C9" s="1511">
        <f>SUM('Building Totals &amp; Benchmarking'!B10:G42)/1000</f>
        <v>1.1031040000000001</v>
      </c>
      <c r="D9" s="1747" t="s">
        <v>288</v>
      </c>
      <c r="E9" s="1748"/>
      <c r="F9" s="1748"/>
      <c r="G9" s="1748"/>
      <c r="H9" s="1748"/>
      <c r="I9" s="1748"/>
      <c r="J9" s="1748"/>
      <c r="K9" s="1749"/>
      <c r="M9" s="1325"/>
    </row>
    <row r="10" spans="1:13" x14ac:dyDescent="0.35">
      <c r="A10" s="1504" t="s">
        <v>289</v>
      </c>
      <c r="B10" s="1510">
        <f>SUM(Energy!B6,Energy!B7,Energy!B8)</f>
        <v>1.1031040000000001</v>
      </c>
      <c r="C10" s="1511">
        <f>SUM(Energy!O16:O46,Energy!O81:O110,Energy!O113:O142,Energy!O145:O174,Energy!O177:O226,Energy!O229:O258)/1000</f>
        <v>1.1031040000000001</v>
      </c>
      <c r="D10" s="1747"/>
      <c r="E10" s="1748"/>
      <c r="F10" s="1748"/>
      <c r="G10" s="1748"/>
      <c r="H10" s="1748"/>
      <c r="I10" s="1748"/>
      <c r="J10" s="1748"/>
      <c r="K10" s="1749"/>
    </row>
    <row r="11" spans="1:13" ht="34.5" customHeight="1" x14ac:dyDescent="0.35">
      <c r="A11" s="1504" t="s">
        <v>290</v>
      </c>
      <c r="B11" s="1510">
        <f>SUM(Totals!G6,Totals!G15)</f>
        <v>0.92586800000000002</v>
      </c>
      <c r="C11" s="1511">
        <f>SUM('Building Totals &amp; Benchmarking'!H43,'Building Totals &amp; Benchmarking'!I43)/1000</f>
        <v>0.92586800000000002</v>
      </c>
      <c r="D11" s="1747"/>
      <c r="E11" s="1748"/>
      <c r="F11" s="1748"/>
      <c r="G11" s="1748"/>
      <c r="H11" s="1748"/>
      <c r="I11" s="1748"/>
      <c r="J11" s="1748"/>
      <c r="K11" s="1749"/>
    </row>
    <row r="12" spans="1:13" ht="15.75" customHeight="1" x14ac:dyDescent="0.35">
      <c r="A12" s="1504" t="s">
        <v>291</v>
      </c>
      <c r="B12" s="1510">
        <f>Totals!G16</f>
        <v>0</v>
      </c>
      <c r="C12" s="1511">
        <f>'Building Totals &amp; Benchmarking'!J43/1000</f>
        <v>0</v>
      </c>
      <c r="D12" s="1747"/>
      <c r="E12" s="1748"/>
      <c r="F12" s="1748"/>
      <c r="G12" s="1748"/>
      <c r="H12" s="1748"/>
      <c r="I12" s="1748"/>
      <c r="J12" s="1748"/>
      <c r="K12" s="1749"/>
    </row>
    <row r="13" spans="1:13" ht="18.75" customHeight="1" x14ac:dyDescent="0.35">
      <c r="A13" s="1504" t="s">
        <v>292</v>
      </c>
      <c r="B13" s="1510">
        <f>Totals!G9</f>
        <v>0</v>
      </c>
      <c r="C13" s="1511">
        <f>'Building Totals &amp; Benchmarking'!K43/1000</f>
        <v>0</v>
      </c>
      <c r="D13" s="1747"/>
      <c r="E13" s="1748"/>
      <c r="F13" s="1748"/>
      <c r="G13" s="1748"/>
      <c r="H13" s="1748"/>
      <c r="I13" s="1748"/>
      <c r="J13" s="1748"/>
      <c r="K13" s="1749"/>
    </row>
    <row r="14" spans="1:13" x14ac:dyDescent="0.35">
      <c r="A14" s="1504" t="s">
        <v>293</v>
      </c>
      <c r="B14" s="1510">
        <f>Totals!G7+Totals!G14</f>
        <v>1.38</v>
      </c>
      <c r="C14" s="1511">
        <f>'Building Totals &amp; Benchmarking'!L43/1000</f>
        <v>1.38</v>
      </c>
      <c r="D14" s="1747"/>
      <c r="E14" s="1748"/>
      <c r="F14" s="1748"/>
      <c r="G14" s="1748"/>
      <c r="H14" s="1748"/>
      <c r="I14" s="1748"/>
      <c r="J14" s="1748"/>
      <c r="K14" s="1749"/>
    </row>
    <row r="15" spans="1:13" x14ac:dyDescent="0.35">
      <c r="A15" s="1504" t="s">
        <v>294</v>
      </c>
      <c r="B15" s="1510">
        <f>SUM(Totals!G8,Totals!G18)</f>
        <v>0</v>
      </c>
      <c r="C15" s="1511">
        <f>'Building Totals &amp; Benchmarking'!N43/1000</f>
        <v>0</v>
      </c>
      <c r="D15" s="1747"/>
      <c r="E15" s="1748"/>
      <c r="F15" s="1748"/>
      <c r="G15" s="1748"/>
      <c r="H15" s="1748"/>
      <c r="I15" s="1748"/>
      <c r="J15" s="1748"/>
      <c r="K15" s="1749"/>
    </row>
    <row r="16" spans="1:13" x14ac:dyDescent="0.35">
      <c r="A16" s="1504" t="s">
        <v>295</v>
      </c>
      <c r="B16" s="1510">
        <f>Totals!G20</f>
        <v>0</v>
      </c>
      <c r="C16" s="1511">
        <f>'Building Totals &amp; Benchmarking'!O43/1000</f>
        <v>0</v>
      </c>
      <c r="D16" s="1747"/>
      <c r="E16" s="1748"/>
      <c r="F16" s="1748"/>
      <c r="G16" s="1748"/>
      <c r="H16" s="1748"/>
      <c r="I16" s="1748"/>
      <c r="J16" s="1748"/>
      <c r="K16" s="1749"/>
    </row>
    <row r="17" spans="1:11" x14ac:dyDescent="0.35">
      <c r="A17" s="1504" t="s">
        <v>296</v>
      </c>
      <c r="B17" s="1750"/>
      <c r="C17" s="1751"/>
      <c r="D17" s="1742" t="s">
        <v>297</v>
      </c>
      <c r="E17" s="1743"/>
      <c r="F17" s="1743"/>
      <c r="G17" s="1743"/>
      <c r="H17" s="1743"/>
      <c r="I17" s="1743"/>
      <c r="J17" s="1743"/>
      <c r="K17" s="1744"/>
    </row>
    <row r="18" spans="1:11" ht="50.25" customHeight="1" x14ac:dyDescent="0.35">
      <c r="A18" s="1504" t="s">
        <v>298</v>
      </c>
      <c r="B18" s="1512">
        <f>SUM(Inhalers!D13:D106)</f>
        <v>0</v>
      </c>
      <c r="C18" s="1513">
        <f>SUM(Inhalers!E13:E106)</f>
        <v>0</v>
      </c>
      <c r="D18" s="1742" t="s">
        <v>299</v>
      </c>
      <c r="E18" s="1743"/>
      <c r="F18" s="1743"/>
      <c r="G18" s="1743"/>
      <c r="H18" s="1743"/>
      <c r="I18" s="1743"/>
      <c r="J18" s="1743"/>
      <c r="K18" s="1744"/>
    </row>
    <row r="19" spans="1:11" ht="36.75" customHeight="1" x14ac:dyDescent="0.35">
      <c r="A19" s="1504" t="s">
        <v>300</v>
      </c>
      <c r="B19" s="1514">
        <f>COUNTA(Buildings!B12:B41)</f>
        <v>2</v>
      </c>
      <c r="C19" s="1515">
        <f>COUNT(Buildings!L12:L41)</f>
        <v>2</v>
      </c>
      <c r="D19" s="1742" t="s">
        <v>301</v>
      </c>
      <c r="E19" s="1743"/>
      <c r="F19" s="1743"/>
      <c r="G19" s="1743"/>
      <c r="H19" s="1743"/>
      <c r="I19" s="1743"/>
      <c r="J19" s="1743"/>
      <c r="K19" s="1744"/>
    </row>
    <row r="20" spans="1:11" ht="45" customHeight="1" x14ac:dyDescent="0.35">
      <c r="A20" s="1504" t="s">
        <v>302</v>
      </c>
      <c r="B20" s="1514">
        <f>COUNTIF(Procurement_T2!C13:C113,"&gt;0")</f>
        <v>3</v>
      </c>
      <c r="C20" s="1515">
        <f>COUNTIF(Procurement_T2!B13:B113,"=Y")+COUNTIF(Procurement_T2!B13:B113,"=N")</f>
        <v>3</v>
      </c>
      <c r="D20" s="1742" t="s">
        <v>303</v>
      </c>
      <c r="E20" s="1743"/>
      <c r="F20" s="1743"/>
      <c r="G20" s="1743"/>
      <c r="H20" s="1743"/>
      <c r="I20" s="1743"/>
      <c r="J20" s="1743"/>
      <c r="K20" s="1744"/>
    </row>
    <row r="21" spans="1:11" ht="114.75" customHeight="1" x14ac:dyDescent="0.35">
      <c r="A21" s="1504" t="s">
        <v>304</v>
      </c>
      <c r="B21" s="1745"/>
      <c r="C21" s="1746"/>
      <c r="D21" s="1742" t="s">
        <v>305</v>
      </c>
      <c r="E21" s="1743"/>
      <c r="F21" s="1743"/>
      <c r="G21" s="1743"/>
      <c r="H21" s="1743"/>
      <c r="I21" s="1743"/>
      <c r="J21" s="1743"/>
      <c r="K21" s="1744"/>
    </row>
    <row r="22" spans="1:11" ht="62.25" customHeight="1" thickBot="1" x14ac:dyDescent="0.4">
      <c r="A22" s="1505" t="s">
        <v>306</v>
      </c>
      <c r="B22" s="1516">
        <f>SUM(Procurement_T2!C13:C113)</f>
        <v>560</v>
      </c>
      <c r="C22" s="1517">
        <f>Quickstart_T1!B5</f>
        <v>1000</v>
      </c>
      <c r="D22" s="1727" t="s">
        <v>307</v>
      </c>
      <c r="E22" s="1728"/>
      <c r="F22" s="1728"/>
      <c r="G22" s="1728"/>
      <c r="H22" s="1728"/>
      <c r="I22" s="1728"/>
      <c r="J22" s="1728"/>
      <c r="K22" s="1729"/>
    </row>
  </sheetData>
  <sheetProtection algorithmName="SHA-512" hashValue="EOdKziwtg9kMh9NTrMmhEBw0lRd0h1qgpgQm8SlBvk9IV14wWnw1BZzGR3ennIqjMQIMA0yn+HqrzFsTtpIDpg==" saltValue="yiz3S8sOhHAVA2M74ZewVQ==" spinCount="100000" sheet="1" objects="1" scenarios="1"/>
  <mergeCells count="15">
    <mergeCell ref="D22:K22"/>
    <mergeCell ref="A1:K3"/>
    <mergeCell ref="D5:K5"/>
    <mergeCell ref="A6:A8"/>
    <mergeCell ref="B6:B8"/>
    <mergeCell ref="C6:C8"/>
    <mergeCell ref="D6:K8"/>
    <mergeCell ref="D21:K21"/>
    <mergeCell ref="B21:C21"/>
    <mergeCell ref="D20:K20"/>
    <mergeCell ref="D9:K16"/>
    <mergeCell ref="B17:C17"/>
    <mergeCell ref="D17:K17"/>
    <mergeCell ref="D18:K18"/>
    <mergeCell ref="D19:K19"/>
  </mergeCells>
  <conditionalFormatting sqref="B6:C8">
    <cfRule type="expression" dxfId="95" priority="20">
      <formula>$B$6&lt;&gt;$C$6</formula>
    </cfRule>
  </conditionalFormatting>
  <conditionalFormatting sqref="B9:C9">
    <cfRule type="expression" dxfId="94" priority="7">
      <formula>$B$9&lt;&gt;$C$9</formula>
    </cfRule>
  </conditionalFormatting>
  <conditionalFormatting sqref="B10:C10">
    <cfRule type="expression" dxfId="93" priority="8">
      <formula>$B$10&lt;&gt;$C$10</formula>
    </cfRule>
    <cfRule type="expression" dxfId="92" priority="10" stopIfTrue="1">
      <formula>$B$10&lt;&gt;$C$10</formula>
    </cfRule>
  </conditionalFormatting>
  <conditionalFormatting sqref="B11:C11">
    <cfRule type="expression" dxfId="91" priority="18">
      <formula>$B$11&lt;&gt;$C$11</formula>
    </cfRule>
  </conditionalFormatting>
  <conditionalFormatting sqref="B12:C12">
    <cfRule type="expression" dxfId="90" priority="17">
      <formula>$B$12&lt;&gt;$C$12</formula>
    </cfRule>
  </conditionalFormatting>
  <conditionalFormatting sqref="B13:C13">
    <cfRule type="expression" dxfId="89" priority="16">
      <formula>$B$13&lt;&gt;$C$13</formula>
    </cfRule>
  </conditionalFormatting>
  <conditionalFormatting sqref="B14:C14">
    <cfRule type="expression" dxfId="88" priority="15">
      <formula>$B$14&lt;&gt;$C$14</formula>
    </cfRule>
  </conditionalFormatting>
  <conditionalFormatting sqref="B15:C15">
    <cfRule type="expression" dxfId="87" priority="13">
      <formula>$B$15&lt;&gt;$C$15</formula>
    </cfRule>
  </conditionalFormatting>
  <conditionalFormatting sqref="B16:C16">
    <cfRule type="expression" dxfId="86" priority="12">
      <formula>$B$16&lt;&gt;$C$16</formula>
    </cfRule>
  </conditionalFormatting>
  <conditionalFormatting sqref="B18:C18">
    <cfRule type="expression" dxfId="85" priority="5">
      <formula>AND(($B$18=$C$18),(($B$18+$C$18)&gt;0))</formula>
    </cfRule>
  </conditionalFormatting>
  <conditionalFormatting sqref="B19:C19">
    <cfRule type="expression" dxfId="84" priority="11">
      <formula>$B$19&lt;&gt;$C$19</formula>
    </cfRule>
  </conditionalFormatting>
  <conditionalFormatting sqref="B22:C22">
    <cfRule type="expression" dxfId="83" priority="1">
      <formula>$C$22&lt;$B$22</formula>
    </cfRule>
  </conditionalFormatting>
  <pageMargins left="0.7" right="0.7" top="0.75" bottom="0.75" header="0.3" footer="0.3"/>
  <pageSetup paperSize="9"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4C14D-E964-4CCF-9C41-FFF61D46E62F}">
  <sheetPr>
    <tabColor rgb="FF00B050"/>
  </sheetPr>
  <dimension ref="A1:O69"/>
  <sheetViews>
    <sheetView topLeftCell="F1" zoomScaleNormal="100" workbookViewId="0">
      <selection activeCell="G16" sqref="G16:H16"/>
    </sheetView>
  </sheetViews>
  <sheetFormatPr defaultRowHeight="14.5" x14ac:dyDescent="0.35"/>
  <cols>
    <col min="1" max="1" width="35.7265625" customWidth="1"/>
    <col min="2" max="2" width="40.7265625" customWidth="1"/>
    <col min="3" max="3" width="43.81640625" customWidth="1"/>
    <col min="4" max="4" width="18.7265625" customWidth="1"/>
    <col min="5" max="5" width="16" customWidth="1"/>
    <col min="6" max="6" width="19.54296875" customWidth="1"/>
    <col min="7" max="7" width="19.81640625" customWidth="1"/>
    <col min="8" max="8" width="68.7265625" customWidth="1"/>
    <col min="9" max="9" width="18.453125" customWidth="1"/>
    <col min="10" max="10" width="18.54296875" customWidth="1"/>
    <col min="11" max="11" width="22.26953125" customWidth="1"/>
    <col min="12" max="12" width="31.7265625" customWidth="1"/>
    <col min="13" max="13" width="25.26953125" hidden="1" customWidth="1"/>
    <col min="14" max="14" width="20.81640625" hidden="1" customWidth="1"/>
    <col min="15" max="15" width="16.26953125" hidden="1" customWidth="1"/>
  </cols>
  <sheetData>
    <row r="1" spans="1:15" ht="236.25" customHeight="1" x14ac:dyDescent="0.35">
      <c r="A1" s="1763" t="s">
        <v>308</v>
      </c>
      <c r="B1" s="1764"/>
      <c r="C1" s="1596"/>
      <c r="D1" s="1596"/>
      <c r="E1" s="1597"/>
      <c r="G1" s="1765" t="s">
        <v>309</v>
      </c>
      <c r="H1" s="1768" t="s">
        <v>310</v>
      </c>
      <c r="I1" s="1769"/>
      <c r="J1" s="1769"/>
      <c r="K1" s="1770"/>
      <c r="L1" s="246"/>
      <c r="M1" s="246"/>
    </row>
    <row r="2" spans="1:15" x14ac:dyDescent="0.35">
      <c r="A2" s="1777" t="s">
        <v>311</v>
      </c>
      <c r="B2" s="1778"/>
      <c r="C2" s="1632"/>
      <c r="D2" s="1632"/>
      <c r="E2" s="1779"/>
      <c r="F2" s="2"/>
      <c r="G2" s="1766"/>
      <c r="H2" s="1771"/>
      <c r="I2" s="1772"/>
      <c r="J2" s="1772"/>
      <c r="K2" s="1773"/>
      <c r="L2" s="246"/>
      <c r="M2" s="246"/>
    </row>
    <row r="3" spans="1:15" ht="15" thickBot="1" x14ac:dyDescent="0.4">
      <c r="A3" s="1780" t="s">
        <v>312</v>
      </c>
      <c r="B3" s="1781"/>
      <c r="C3" s="1782"/>
      <c r="D3" s="1782"/>
      <c r="E3" s="1783"/>
      <c r="F3" s="2"/>
      <c r="G3" s="1767"/>
      <c r="H3" s="1774"/>
      <c r="I3" s="1775"/>
      <c r="J3" s="1775"/>
      <c r="K3" s="1776"/>
      <c r="L3" s="246"/>
      <c r="M3" s="246"/>
    </row>
    <row r="4" spans="1:15" ht="15" thickBot="1" x14ac:dyDescent="0.4">
      <c r="A4" s="2"/>
      <c r="B4" s="2"/>
      <c r="C4" s="2"/>
      <c r="D4" s="2"/>
      <c r="E4" s="2"/>
      <c r="F4" s="2"/>
      <c r="G4" s="2"/>
      <c r="H4" s="2"/>
      <c r="I4" s="2"/>
      <c r="J4" s="2"/>
      <c r="K4" s="2"/>
      <c r="L4" s="2"/>
    </row>
    <row r="5" spans="1:15" x14ac:dyDescent="0.35">
      <c r="A5" s="463" t="s">
        <v>313</v>
      </c>
      <c r="B5" s="466">
        <f>SUM(J10:J69)</f>
        <v>0</v>
      </c>
      <c r="C5" s="461" t="s">
        <v>314</v>
      </c>
      <c r="D5" s="2"/>
      <c r="E5" s="2"/>
      <c r="F5" s="2"/>
      <c r="G5" s="2"/>
      <c r="H5" s="2"/>
      <c r="I5" s="2"/>
      <c r="J5" s="2"/>
      <c r="K5" s="2"/>
      <c r="L5" s="2"/>
    </row>
    <row r="6" spans="1:15" ht="15" thickBot="1" x14ac:dyDescent="0.4">
      <c r="A6" s="464" t="s">
        <v>315</v>
      </c>
      <c r="B6" s="467">
        <f>SUM(K10:K69)/1000</f>
        <v>0</v>
      </c>
      <c r="C6" s="462" t="s">
        <v>316</v>
      </c>
      <c r="D6" s="2"/>
      <c r="E6" s="2"/>
      <c r="F6" s="2"/>
      <c r="G6" s="2"/>
      <c r="H6" s="2"/>
      <c r="I6" s="2"/>
      <c r="J6" s="2"/>
      <c r="K6" s="2"/>
      <c r="L6" s="2"/>
    </row>
    <row r="7" spans="1:15" ht="15" thickBot="1" x14ac:dyDescent="0.4">
      <c r="A7" s="2"/>
      <c r="B7" s="2"/>
      <c r="C7" s="2"/>
      <c r="D7" s="2"/>
      <c r="E7" s="2"/>
      <c r="F7" s="2"/>
      <c r="G7" s="2"/>
      <c r="H7" s="2"/>
      <c r="I7" s="2"/>
      <c r="J7" s="2"/>
      <c r="K7" s="2"/>
      <c r="L7" s="2"/>
    </row>
    <row r="8" spans="1:15" s="4" customFormat="1" ht="29.5" thickBot="1" x14ac:dyDescent="0.4">
      <c r="A8" s="1300" t="s">
        <v>317</v>
      </c>
      <c r="B8" s="1332" t="s">
        <v>318</v>
      </c>
      <c r="C8" s="1333" t="s">
        <v>319</v>
      </c>
      <c r="D8" s="1333" t="s">
        <v>320</v>
      </c>
      <c r="E8" s="1333" t="s">
        <v>321</v>
      </c>
      <c r="F8" s="1334" t="s">
        <v>322</v>
      </c>
      <c r="G8" s="1784" t="s">
        <v>323</v>
      </c>
      <c r="H8" s="1785"/>
      <c r="I8" s="1334" t="s">
        <v>324</v>
      </c>
      <c r="J8" s="1333" t="s">
        <v>313</v>
      </c>
      <c r="K8" s="1335" t="s">
        <v>315</v>
      </c>
      <c r="L8" s="320"/>
      <c r="M8" s="1756" t="s">
        <v>325</v>
      </c>
      <c r="N8" s="1757"/>
      <c r="O8" s="1758"/>
    </row>
    <row r="9" spans="1:15" s="4" customFormat="1" ht="15" thickBot="1" x14ac:dyDescent="0.4">
      <c r="A9" s="1336"/>
      <c r="B9" s="1337" t="s">
        <v>326</v>
      </c>
      <c r="C9" s="712" t="s">
        <v>327</v>
      </c>
      <c r="D9" s="712" t="s">
        <v>328</v>
      </c>
      <c r="E9" s="712" t="s">
        <v>328</v>
      </c>
      <c r="F9" s="1338" t="s">
        <v>329</v>
      </c>
      <c r="G9" s="1759" t="s">
        <v>330</v>
      </c>
      <c r="H9" s="1760"/>
      <c r="I9" s="1339" t="s">
        <v>331</v>
      </c>
      <c r="J9" s="1329" t="s">
        <v>331</v>
      </c>
      <c r="K9" s="1150" t="s">
        <v>332</v>
      </c>
      <c r="L9" s="320"/>
      <c r="M9" s="1340" t="s">
        <v>333</v>
      </c>
      <c r="N9" s="1341" t="s">
        <v>334</v>
      </c>
      <c r="O9" s="439" t="s">
        <v>322</v>
      </c>
    </row>
    <row r="10" spans="1:15" x14ac:dyDescent="0.35">
      <c r="A10" s="1056" t="s">
        <v>335</v>
      </c>
      <c r="B10" s="1342" t="s">
        <v>2593</v>
      </c>
      <c r="C10" s="199" t="s">
        <v>348</v>
      </c>
      <c r="D10" s="1343"/>
      <c r="E10" s="1343"/>
      <c r="F10" s="1344"/>
      <c r="G10" s="1761"/>
      <c r="H10" s="1762"/>
      <c r="I10" s="1345"/>
      <c r="J10" s="1346"/>
      <c r="K10" s="1347"/>
      <c r="L10" s="2"/>
      <c r="M10" s="158" t="s">
        <v>336</v>
      </c>
      <c r="N10" s="158" t="s">
        <v>337</v>
      </c>
      <c r="O10" s="158" t="s">
        <v>338</v>
      </c>
    </row>
    <row r="11" spans="1:15" x14ac:dyDescent="0.35">
      <c r="A11" s="1348" t="s">
        <v>339</v>
      </c>
      <c r="B11" s="1349"/>
      <c r="C11" s="168"/>
      <c r="D11" s="1350"/>
      <c r="E11" s="1350"/>
      <c r="F11" s="1351"/>
      <c r="G11" s="1752"/>
      <c r="H11" s="1753"/>
      <c r="I11" s="1352"/>
      <c r="J11" s="1353"/>
      <c r="K11" s="1354"/>
      <c r="L11" s="2"/>
      <c r="M11" s="158" t="s">
        <v>340</v>
      </c>
      <c r="N11" s="158" t="s">
        <v>341</v>
      </c>
      <c r="O11" s="158" t="s">
        <v>342</v>
      </c>
    </row>
    <row r="12" spans="1:15" x14ac:dyDescent="0.35">
      <c r="A12" s="1348" t="s">
        <v>343</v>
      </c>
      <c r="B12" s="1349"/>
      <c r="C12" s="168"/>
      <c r="D12" s="1350"/>
      <c r="E12" s="1350"/>
      <c r="F12" s="1351"/>
      <c r="G12" s="1752"/>
      <c r="H12" s="1753"/>
      <c r="I12" s="1352"/>
      <c r="J12" s="1353"/>
      <c r="K12" s="1354"/>
      <c r="L12" s="2"/>
      <c r="M12" s="158" t="s">
        <v>344</v>
      </c>
      <c r="N12" s="158" t="s">
        <v>345</v>
      </c>
      <c r="O12" s="158" t="s">
        <v>346</v>
      </c>
    </row>
    <row r="13" spans="1:15" x14ac:dyDescent="0.35">
      <c r="A13" s="1348" t="s">
        <v>347</v>
      </c>
      <c r="B13" s="1349"/>
      <c r="C13" s="168"/>
      <c r="D13" s="1350"/>
      <c r="E13" s="1350"/>
      <c r="F13" s="1351"/>
      <c r="G13" s="1752"/>
      <c r="H13" s="1753"/>
      <c r="I13" s="1352"/>
      <c r="J13" s="1353"/>
      <c r="K13" s="1354"/>
      <c r="L13" s="2"/>
      <c r="M13" s="158" t="s">
        <v>348</v>
      </c>
      <c r="N13" s="158" t="str">
        <f>IFERROR(#REF!,"")</f>
        <v/>
      </c>
      <c r="O13" s="158" t="s">
        <v>349</v>
      </c>
    </row>
    <row r="14" spans="1:15" x14ac:dyDescent="0.35">
      <c r="A14" s="1348" t="s">
        <v>350</v>
      </c>
      <c r="B14" s="1349"/>
      <c r="C14" s="168"/>
      <c r="D14" s="1350"/>
      <c r="E14" s="1350"/>
      <c r="F14" s="1351"/>
      <c r="G14" s="1752"/>
      <c r="H14" s="1753"/>
      <c r="I14" s="1352"/>
      <c r="J14" s="1353"/>
      <c r="K14" s="1354"/>
      <c r="L14" s="2"/>
      <c r="M14" s="543" t="s">
        <v>351</v>
      </c>
      <c r="N14" s="158" t="str">
        <f>IFERROR(#REF!,"")</f>
        <v/>
      </c>
      <c r="O14" s="158" t="s">
        <v>352</v>
      </c>
    </row>
    <row r="15" spans="1:15" x14ac:dyDescent="0.35">
      <c r="A15" s="1348" t="s">
        <v>353</v>
      </c>
      <c r="B15" s="1349"/>
      <c r="C15" s="168"/>
      <c r="D15" s="1350"/>
      <c r="E15" s="1350"/>
      <c r="F15" s="1351"/>
      <c r="G15" s="1752"/>
      <c r="H15" s="1753"/>
      <c r="I15" s="1352"/>
      <c r="J15" s="1353"/>
      <c r="K15" s="1354"/>
      <c r="L15" s="2"/>
      <c r="M15" s="158" t="s">
        <v>257</v>
      </c>
      <c r="N15" s="158" t="str">
        <f>IFERROR(#REF!,"")</f>
        <v/>
      </c>
      <c r="O15" s="158" t="s">
        <v>354</v>
      </c>
    </row>
    <row r="16" spans="1:15" x14ac:dyDescent="0.35">
      <c r="A16" s="1348" t="s">
        <v>355</v>
      </c>
      <c r="B16" s="1349"/>
      <c r="C16" s="168"/>
      <c r="D16" s="1350"/>
      <c r="E16" s="1350"/>
      <c r="F16" s="1351"/>
      <c r="G16" s="1752"/>
      <c r="H16" s="1753"/>
      <c r="I16" s="1352"/>
      <c r="J16" s="1353"/>
      <c r="K16" s="1354"/>
      <c r="L16" s="2"/>
      <c r="M16" s="158" t="s">
        <v>356</v>
      </c>
      <c r="N16" s="158" t="str">
        <f>IFERROR(#REF!,"")</f>
        <v/>
      </c>
      <c r="O16" s="158" t="s">
        <v>357</v>
      </c>
    </row>
    <row r="17" spans="1:15" x14ac:dyDescent="0.35">
      <c r="A17" s="1348" t="s">
        <v>358</v>
      </c>
      <c r="B17" s="1349"/>
      <c r="C17" s="168"/>
      <c r="D17" s="1350"/>
      <c r="E17" s="1350"/>
      <c r="F17" s="1351"/>
      <c r="G17" s="1752"/>
      <c r="H17" s="1753"/>
      <c r="I17" s="1352"/>
      <c r="J17" s="1353"/>
      <c r="K17" s="1354"/>
      <c r="L17" s="2"/>
      <c r="M17" s="158" t="s">
        <v>359</v>
      </c>
      <c r="N17" s="158" t="str">
        <f>IFERROR(#REF!,"")</f>
        <v/>
      </c>
      <c r="O17" s="158" t="s">
        <v>360</v>
      </c>
    </row>
    <row r="18" spans="1:15" x14ac:dyDescent="0.35">
      <c r="A18" s="1348" t="s">
        <v>361</v>
      </c>
      <c r="B18" s="1349"/>
      <c r="C18" s="168"/>
      <c r="D18" s="1350"/>
      <c r="E18" s="1350"/>
      <c r="F18" s="1351"/>
      <c r="G18" s="1752"/>
      <c r="H18" s="1753"/>
      <c r="I18" s="1352"/>
      <c r="J18" s="1353"/>
      <c r="K18" s="1354"/>
      <c r="L18" s="2"/>
      <c r="M18" s="158" t="s">
        <v>351</v>
      </c>
      <c r="N18" s="158" t="str">
        <f>IFERROR(#REF!,"")</f>
        <v/>
      </c>
      <c r="O18" s="158"/>
    </row>
    <row r="19" spans="1:15" x14ac:dyDescent="0.35">
      <c r="A19" s="1348" t="s">
        <v>362</v>
      </c>
      <c r="B19" s="1349"/>
      <c r="C19" s="168"/>
      <c r="D19" s="1350"/>
      <c r="E19" s="1350"/>
      <c r="F19" s="1351"/>
      <c r="G19" s="1752"/>
      <c r="H19" s="1753"/>
      <c r="I19" s="1352"/>
      <c r="J19" s="1353"/>
      <c r="K19" s="1354"/>
      <c r="L19" s="2"/>
      <c r="M19" s="543" t="s">
        <v>363</v>
      </c>
      <c r="N19" s="158" t="str">
        <f>IFERROR(#REF!,"")</f>
        <v/>
      </c>
      <c r="O19" s="158"/>
    </row>
    <row r="20" spans="1:15" x14ac:dyDescent="0.35">
      <c r="A20" s="1348" t="s">
        <v>364</v>
      </c>
      <c r="B20" s="1349"/>
      <c r="C20" s="168"/>
      <c r="D20" s="1350"/>
      <c r="E20" s="1350"/>
      <c r="F20" s="1351"/>
      <c r="G20" s="1752"/>
      <c r="H20" s="1753"/>
      <c r="I20" s="1352"/>
      <c r="J20" s="1353"/>
      <c r="K20" s="1354"/>
      <c r="L20" s="2"/>
      <c r="M20" s="158" t="s">
        <v>259</v>
      </c>
      <c r="N20" s="158" t="str">
        <f>IFERROR(#REF!,"")</f>
        <v/>
      </c>
      <c r="O20" s="158"/>
    </row>
    <row r="21" spans="1:15" x14ac:dyDescent="0.35">
      <c r="A21" s="1348" t="s">
        <v>365</v>
      </c>
      <c r="B21" s="1349"/>
      <c r="C21" s="168"/>
      <c r="D21" s="1350"/>
      <c r="E21" s="1350"/>
      <c r="F21" s="1351"/>
      <c r="G21" s="1752"/>
      <c r="H21" s="1753"/>
      <c r="I21" s="1352"/>
      <c r="J21" s="1353"/>
      <c r="K21" s="1354"/>
      <c r="L21" s="2"/>
      <c r="M21" s="158" t="s">
        <v>265</v>
      </c>
      <c r="N21" s="158" t="str">
        <f>IFERROR(#REF!,"")</f>
        <v/>
      </c>
      <c r="O21" s="158"/>
    </row>
    <row r="22" spans="1:15" x14ac:dyDescent="0.35">
      <c r="A22" s="1348" t="s">
        <v>366</v>
      </c>
      <c r="B22" s="1349"/>
      <c r="C22" s="168"/>
      <c r="D22" s="1350"/>
      <c r="E22" s="1350"/>
      <c r="F22" s="1351"/>
      <c r="G22" s="1752"/>
      <c r="H22" s="1753"/>
      <c r="I22" s="1352"/>
      <c r="J22" s="1353"/>
      <c r="K22" s="1354"/>
      <c r="L22" s="2"/>
      <c r="M22" s="158" t="s">
        <v>367</v>
      </c>
      <c r="N22" s="158" t="str">
        <f>IFERROR(#REF!,"")</f>
        <v/>
      </c>
      <c r="O22" s="158"/>
    </row>
    <row r="23" spans="1:15" x14ac:dyDescent="0.35">
      <c r="A23" s="1348" t="s">
        <v>368</v>
      </c>
      <c r="B23" s="1349"/>
      <c r="C23" s="168"/>
      <c r="D23" s="1350"/>
      <c r="E23" s="1350"/>
      <c r="F23" s="1351"/>
      <c r="G23" s="1752"/>
      <c r="H23" s="1753"/>
      <c r="I23" s="1352"/>
      <c r="J23" s="1353"/>
      <c r="K23" s="1354"/>
      <c r="L23" s="2"/>
      <c r="M23" s="158" t="s">
        <v>208</v>
      </c>
      <c r="N23" s="158"/>
      <c r="O23" s="158"/>
    </row>
    <row r="24" spans="1:15" x14ac:dyDescent="0.35">
      <c r="A24" s="1348" t="s">
        <v>369</v>
      </c>
      <c r="B24" s="1349"/>
      <c r="C24" s="168"/>
      <c r="D24" s="1350"/>
      <c r="E24" s="1350"/>
      <c r="F24" s="1351"/>
      <c r="G24" s="1752"/>
      <c r="H24" s="1753"/>
      <c r="I24" s="1352"/>
      <c r="J24" s="1353"/>
      <c r="K24" s="1354"/>
      <c r="L24" s="2"/>
      <c r="M24" s="158"/>
      <c r="N24" s="158"/>
      <c r="O24" s="158"/>
    </row>
    <row r="25" spans="1:15" x14ac:dyDescent="0.35">
      <c r="A25" s="1348" t="s">
        <v>370</v>
      </c>
      <c r="B25" s="1349"/>
      <c r="C25" s="168"/>
      <c r="D25" s="1350"/>
      <c r="E25" s="1350"/>
      <c r="F25" s="1351"/>
      <c r="G25" s="1752"/>
      <c r="H25" s="1753"/>
      <c r="I25" s="1352"/>
      <c r="J25" s="1353"/>
      <c r="K25" s="1354"/>
      <c r="L25" s="2"/>
      <c r="M25" s="158"/>
      <c r="N25" s="158"/>
      <c r="O25" s="158"/>
    </row>
    <row r="26" spans="1:15" x14ac:dyDescent="0.35">
      <c r="A26" s="1348" t="s">
        <v>371</v>
      </c>
      <c r="B26" s="1349"/>
      <c r="C26" s="168"/>
      <c r="D26" s="1350"/>
      <c r="E26" s="1350"/>
      <c r="F26" s="1351"/>
      <c r="G26" s="1752"/>
      <c r="H26" s="1753"/>
      <c r="I26" s="1352"/>
      <c r="J26" s="1353"/>
      <c r="K26" s="1354"/>
      <c r="L26" s="2"/>
    </row>
    <row r="27" spans="1:15" x14ac:dyDescent="0.35">
      <c r="A27" s="1348" t="s">
        <v>372</v>
      </c>
      <c r="B27" s="1349"/>
      <c r="C27" s="168"/>
      <c r="D27" s="1350"/>
      <c r="E27" s="1350"/>
      <c r="F27" s="1351"/>
      <c r="G27" s="1752"/>
      <c r="H27" s="1753"/>
      <c r="I27" s="1352"/>
      <c r="J27" s="1353"/>
      <c r="K27" s="1354"/>
      <c r="L27" s="2"/>
    </row>
    <row r="28" spans="1:15" x14ac:dyDescent="0.35">
      <c r="A28" s="1348" t="s">
        <v>373</v>
      </c>
      <c r="B28" s="1349"/>
      <c r="C28" s="168"/>
      <c r="D28" s="1350"/>
      <c r="E28" s="1350"/>
      <c r="F28" s="1351"/>
      <c r="G28" s="1752"/>
      <c r="H28" s="1753"/>
      <c r="I28" s="1352"/>
      <c r="J28" s="1353"/>
      <c r="K28" s="1354"/>
      <c r="L28" s="2"/>
    </row>
    <row r="29" spans="1:15" x14ac:dyDescent="0.35">
      <c r="A29" s="1348" t="s">
        <v>374</v>
      </c>
      <c r="B29" s="1349"/>
      <c r="C29" s="168"/>
      <c r="D29" s="1350"/>
      <c r="E29" s="1350"/>
      <c r="F29" s="1351"/>
      <c r="G29" s="1752"/>
      <c r="H29" s="1753"/>
      <c r="I29" s="1352"/>
      <c r="J29" s="1353"/>
      <c r="K29" s="1354"/>
      <c r="L29" s="2"/>
    </row>
    <row r="30" spans="1:15" x14ac:dyDescent="0.35">
      <c r="A30" s="1348" t="s">
        <v>375</v>
      </c>
      <c r="B30" s="1349"/>
      <c r="C30" s="168"/>
      <c r="D30" s="1350"/>
      <c r="E30" s="1350"/>
      <c r="F30" s="1351"/>
      <c r="G30" s="1752"/>
      <c r="H30" s="1753"/>
      <c r="I30" s="1352"/>
      <c r="J30" s="1353"/>
      <c r="K30" s="1354"/>
      <c r="L30" s="2"/>
    </row>
    <row r="31" spans="1:15" x14ac:dyDescent="0.35">
      <c r="A31" s="1348" t="s">
        <v>376</v>
      </c>
      <c r="B31" s="1349"/>
      <c r="C31" s="168"/>
      <c r="D31" s="1350"/>
      <c r="E31" s="1350"/>
      <c r="F31" s="1351"/>
      <c r="G31" s="1752"/>
      <c r="H31" s="1753"/>
      <c r="I31" s="1352"/>
      <c r="J31" s="1353"/>
      <c r="K31" s="1354"/>
      <c r="L31" s="2"/>
    </row>
    <row r="32" spans="1:15" x14ac:dyDescent="0.35">
      <c r="A32" s="1348" t="s">
        <v>377</v>
      </c>
      <c r="B32" s="1349"/>
      <c r="C32" s="168"/>
      <c r="D32" s="1350"/>
      <c r="E32" s="1350"/>
      <c r="F32" s="1351"/>
      <c r="G32" s="1752"/>
      <c r="H32" s="1753"/>
      <c r="I32" s="1352"/>
      <c r="J32" s="1353"/>
      <c r="K32" s="1354"/>
      <c r="L32" s="2"/>
    </row>
    <row r="33" spans="1:12" x14ac:dyDescent="0.35">
      <c r="A33" s="1348" t="s">
        <v>378</v>
      </c>
      <c r="B33" s="1349"/>
      <c r="C33" s="168"/>
      <c r="D33" s="1350"/>
      <c r="E33" s="1350"/>
      <c r="F33" s="1351"/>
      <c r="G33" s="1752"/>
      <c r="H33" s="1753"/>
      <c r="I33" s="1352"/>
      <c r="J33" s="1353"/>
      <c r="K33" s="1354"/>
      <c r="L33" s="2"/>
    </row>
    <row r="34" spans="1:12" x14ac:dyDescent="0.35">
      <c r="A34" s="1348" t="s">
        <v>379</v>
      </c>
      <c r="B34" s="1349"/>
      <c r="C34" s="168"/>
      <c r="D34" s="1350"/>
      <c r="E34" s="1350"/>
      <c r="F34" s="1351"/>
      <c r="G34" s="1752"/>
      <c r="H34" s="1753"/>
      <c r="I34" s="1352"/>
      <c r="J34" s="1353"/>
      <c r="K34" s="1354"/>
      <c r="L34" s="2"/>
    </row>
    <row r="35" spans="1:12" x14ac:dyDescent="0.35">
      <c r="A35" s="1348" t="s">
        <v>380</v>
      </c>
      <c r="B35" s="1349"/>
      <c r="C35" s="168"/>
      <c r="D35" s="1350"/>
      <c r="E35" s="1350"/>
      <c r="F35" s="1351"/>
      <c r="G35" s="1752"/>
      <c r="H35" s="1753"/>
      <c r="I35" s="1352"/>
      <c r="J35" s="1353"/>
      <c r="K35" s="1354"/>
      <c r="L35" s="2"/>
    </row>
    <row r="36" spans="1:12" x14ac:dyDescent="0.35">
      <c r="A36" s="1348" t="s">
        <v>381</v>
      </c>
      <c r="B36" s="1349"/>
      <c r="C36" s="168"/>
      <c r="D36" s="1350"/>
      <c r="E36" s="1350"/>
      <c r="F36" s="1351"/>
      <c r="G36" s="1752"/>
      <c r="H36" s="1753"/>
      <c r="I36" s="1352"/>
      <c r="J36" s="1353"/>
      <c r="K36" s="1354"/>
      <c r="L36" s="2"/>
    </row>
    <row r="37" spans="1:12" x14ac:dyDescent="0.35">
      <c r="A37" s="1348" t="s">
        <v>382</v>
      </c>
      <c r="B37" s="1349"/>
      <c r="C37" s="168"/>
      <c r="D37" s="1350"/>
      <c r="E37" s="1350"/>
      <c r="F37" s="1351"/>
      <c r="G37" s="1752"/>
      <c r="H37" s="1753"/>
      <c r="I37" s="1352"/>
      <c r="J37" s="1353"/>
      <c r="K37" s="1354"/>
      <c r="L37" s="2"/>
    </row>
    <row r="38" spans="1:12" x14ac:dyDescent="0.35">
      <c r="A38" s="1348" t="s">
        <v>383</v>
      </c>
      <c r="B38" s="1349"/>
      <c r="C38" s="168"/>
      <c r="D38" s="1350"/>
      <c r="E38" s="1350"/>
      <c r="F38" s="1351"/>
      <c r="G38" s="1752"/>
      <c r="H38" s="1753"/>
      <c r="I38" s="1352"/>
      <c r="J38" s="1353"/>
      <c r="K38" s="1354"/>
      <c r="L38" s="2"/>
    </row>
    <row r="39" spans="1:12" x14ac:dyDescent="0.35">
      <c r="A39" s="1348" t="s">
        <v>384</v>
      </c>
      <c r="B39" s="1349"/>
      <c r="C39" s="168"/>
      <c r="D39" s="1350"/>
      <c r="E39" s="1350"/>
      <c r="F39" s="1351"/>
      <c r="G39" s="1752"/>
      <c r="H39" s="1753"/>
      <c r="I39" s="1352"/>
      <c r="J39" s="1353"/>
      <c r="K39" s="1354"/>
      <c r="L39" s="2"/>
    </row>
    <row r="40" spans="1:12" x14ac:dyDescent="0.35">
      <c r="A40" s="1348" t="s">
        <v>385</v>
      </c>
      <c r="B40" s="1349"/>
      <c r="C40" s="168"/>
      <c r="D40" s="1350"/>
      <c r="E40" s="1350"/>
      <c r="F40" s="1351"/>
      <c r="G40" s="1752"/>
      <c r="H40" s="1753"/>
      <c r="I40" s="1352"/>
      <c r="J40" s="1353"/>
      <c r="K40" s="1354"/>
      <c r="L40" s="2"/>
    </row>
    <row r="41" spans="1:12" x14ac:dyDescent="0.35">
      <c r="A41" s="1348" t="s">
        <v>386</v>
      </c>
      <c r="B41" s="1349"/>
      <c r="C41" s="168"/>
      <c r="D41" s="1350"/>
      <c r="E41" s="1350"/>
      <c r="F41" s="1351"/>
      <c r="G41" s="1752"/>
      <c r="H41" s="1753"/>
      <c r="I41" s="1352"/>
      <c r="J41" s="1353"/>
      <c r="K41" s="1354"/>
      <c r="L41" s="2"/>
    </row>
    <row r="42" spans="1:12" x14ac:dyDescent="0.35">
      <c r="A42" s="1348" t="s">
        <v>387</v>
      </c>
      <c r="B42" s="1349"/>
      <c r="C42" s="168"/>
      <c r="D42" s="1350"/>
      <c r="E42" s="1350"/>
      <c r="F42" s="1351"/>
      <c r="G42" s="1752"/>
      <c r="H42" s="1753"/>
      <c r="I42" s="1352"/>
      <c r="J42" s="1353"/>
      <c r="K42" s="1354"/>
      <c r="L42" s="2"/>
    </row>
    <row r="43" spans="1:12" x14ac:dyDescent="0.35">
      <c r="A43" s="1348" t="s">
        <v>388</v>
      </c>
      <c r="B43" s="1349"/>
      <c r="C43" s="168"/>
      <c r="D43" s="1350"/>
      <c r="E43" s="1350"/>
      <c r="F43" s="1351"/>
      <c r="G43" s="1752"/>
      <c r="H43" s="1753"/>
      <c r="I43" s="1352"/>
      <c r="J43" s="1353"/>
      <c r="K43" s="1354"/>
      <c r="L43" s="2"/>
    </row>
    <row r="44" spans="1:12" x14ac:dyDescent="0.35">
      <c r="A44" s="1348" t="s">
        <v>389</v>
      </c>
      <c r="B44" s="1349"/>
      <c r="C44" s="168"/>
      <c r="D44" s="1350"/>
      <c r="E44" s="1350"/>
      <c r="F44" s="1351"/>
      <c r="G44" s="1752"/>
      <c r="H44" s="1753"/>
      <c r="I44" s="1352"/>
      <c r="J44" s="1353"/>
      <c r="K44" s="1354"/>
      <c r="L44" s="2"/>
    </row>
    <row r="45" spans="1:12" x14ac:dyDescent="0.35">
      <c r="A45" s="1348" t="s">
        <v>390</v>
      </c>
      <c r="B45" s="1349"/>
      <c r="C45" s="168"/>
      <c r="D45" s="1350"/>
      <c r="E45" s="1350"/>
      <c r="F45" s="1351"/>
      <c r="G45" s="1752"/>
      <c r="H45" s="1753"/>
      <c r="I45" s="1352"/>
      <c r="J45" s="1353"/>
      <c r="K45" s="1354"/>
      <c r="L45" s="2"/>
    </row>
    <row r="46" spans="1:12" x14ac:dyDescent="0.35">
      <c r="A46" s="1348" t="s">
        <v>391</v>
      </c>
      <c r="B46" s="1349"/>
      <c r="C46" s="168"/>
      <c r="D46" s="1350"/>
      <c r="E46" s="1350"/>
      <c r="F46" s="1351"/>
      <c r="G46" s="1752"/>
      <c r="H46" s="1753"/>
      <c r="I46" s="1352"/>
      <c r="J46" s="1353"/>
      <c r="K46" s="1354"/>
      <c r="L46" s="2"/>
    </row>
    <row r="47" spans="1:12" x14ac:dyDescent="0.35">
      <c r="A47" s="1348" t="s">
        <v>392</v>
      </c>
      <c r="B47" s="1349"/>
      <c r="C47" s="168"/>
      <c r="D47" s="1350"/>
      <c r="E47" s="1350"/>
      <c r="F47" s="1351"/>
      <c r="G47" s="1752"/>
      <c r="H47" s="1753"/>
      <c r="I47" s="1352"/>
      <c r="J47" s="1353"/>
      <c r="K47" s="1354"/>
      <c r="L47" s="2"/>
    </row>
    <row r="48" spans="1:12" x14ac:dyDescent="0.35">
      <c r="A48" s="1348" t="s">
        <v>393</v>
      </c>
      <c r="B48" s="1349"/>
      <c r="C48" s="168"/>
      <c r="D48" s="1350"/>
      <c r="E48" s="1350"/>
      <c r="F48" s="1351"/>
      <c r="G48" s="1752"/>
      <c r="H48" s="1753"/>
      <c r="I48" s="1352"/>
      <c r="J48" s="1353"/>
      <c r="K48" s="1354"/>
      <c r="L48" s="2"/>
    </row>
    <row r="49" spans="1:12" x14ac:dyDescent="0.35">
      <c r="A49" s="1348" t="s">
        <v>394</v>
      </c>
      <c r="B49" s="1349"/>
      <c r="C49" s="168"/>
      <c r="D49" s="1350"/>
      <c r="E49" s="1350"/>
      <c r="F49" s="1351"/>
      <c r="G49" s="1752"/>
      <c r="H49" s="1753"/>
      <c r="I49" s="1352"/>
      <c r="J49" s="1353"/>
      <c r="K49" s="1354"/>
      <c r="L49" s="2"/>
    </row>
    <row r="50" spans="1:12" x14ac:dyDescent="0.35">
      <c r="A50" s="1348" t="s">
        <v>395</v>
      </c>
      <c r="B50" s="1349"/>
      <c r="C50" s="168"/>
      <c r="D50" s="1350"/>
      <c r="E50" s="1350"/>
      <c r="F50" s="1351"/>
      <c r="G50" s="1752"/>
      <c r="H50" s="1753"/>
      <c r="I50" s="1352"/>
      <c r="J50" s="1353"/>
      <c r="K50" s="1354"/>
      <c r="L50" s="2"/>
    </row>
    <row r="51" spans="1:12" x14ac:dyDescent="0.35">
      <c r="A51" s="1348" t="s">
        <v>396</v>
      </c>
      <c r="B51" s="1349"/>
      <c r="C51" s="168"/>
      <c r="D51" s="1350"/>
      <c r="E51" s="1350"/>
      <c r="F51" s="1351"/>
      <c r="G51" s="1752"/>
      <c r="H51" s="1753"/>
      <c r="I51" s="1352"/>
      <c r="J51" s="1353"/>
      <c r="K51" s="1354"/>
      <c r="L51" s="2"/>
    </row>
    <row r="52" spans="1:12" x14ac:dyDescent="0.35">
      <c r="A52" s="1348" t="s">
        <v>397</v>
      </c>
      <c r="B52" s="1349"/>
      <c r="C52" s="168"/>
      <c r="D52" s="1350"/>
      <c r="E52" s="1350"/>
      <c r="F52" s="1351"/>
      <c r="G52" s="1752"/>
      <c r="H52" s="1753"/>
      <c r="I52" s="1352"/>
      <c r="J52" s="1353"/>
      <c r="K52" s="1354"/>
      <c r="L52" s="2"/>
    </row>
    <row r="53" spans="1:12" x14ac:dyDescent="0.35">
      <c r="A53" s="1348" t="s">
        <v>398</v>
      </c>
      <c r="B53" s="1349"/>
      <c r="C53" s="168"/>
      <c r="D53" s="1350"/>
      <c r="E53" s="1350"/>
      <c r="F53" s="1351"/>
      <c r="G53" s="1752"/>
      <c r="H53" s="1753"/>
      <c r="I53" s="1352"/>
      <c r="J53" s="1353"/>
      <c r="K53" s="1354"/>
      <c r="L53" s="2"/>
    </row>
    <row r="54" spans="1:12" x14ac:dyDescent="0.35">
      <c r="A54" s="1348" t="s">
        <v>399</v>
      </c>
      <c r="B54" s="1349"/>
      <c r="C54" s="168"/>
      <c r="D54" s="1350"/>
      <c r="E54" s="1350"/>
      <c r="F54" s="1351"/>
      <c r="G54" s="1752"/>
      <c r="H54" s="1753"/>
      <c r="I54" s="1352"/>
      <c r="J54" s="1353"/>
      <c r="K54" s="1354"/>
      <c r="L54" s="2"/>
    </row>
    <row r="55" spans="1:12" x14ac:dyDescent="0.35">
      <c r="A55" s="1348" t="s">
        <v>400</v>
      </c>
      <c r="B55" s="1349"/>
      <c r="C55" s="168"/>
      <c r="D55" s="1350"/>
      <c r="E55" s="1350"/>
      <c r="F55" s="1351"/>
      <c r="G55" s="1752"/>
      <c r="H55" s="1753"/>
      <c r="I55" s="1352"/>
      <c r="J55" s="1353"/>
      <c r="K55" s="1354"/>
      <c r="L55" s="2"/>
    </row>
    <row r="56" spans="1:12" x14ac:dyDescent="0.35">
      <c r="A56" s="1348" t="s">
        <v>401</v>
      </c>
      <c r="B56" s="1349"/>
      <c r="C56" s="168"/>
      <c r="D56" s="1350"/>
      <c r="E56" s="1350"/>
      <c r="F56" s="1351"/>
      <c r="G56" s="1752"/>
      <c r="H56" s="1753"/>
      <c r="I56" s="1352"/>
      <c r="J56" s="1353"/>
      <c r="K56" s="1354"/>
      <c r="L56" s="2"/>
    </row>
    <row r="57" spans="1:12" x14ac:dyDescent="0.35">
      <c r="A57" s="1348" t="s">
        <v>402</v>
      </c>
      <c r="B57" s="1349"/>
      <c r="C57" s="168"/>
      <c r="D57" s="1350"/>
      <c r="E57" s="1350"/>
      <c r="F57" s="1351"/>
      <c r="G57" s="1752"/>
      <c r="H57" s="1753"/>
      <c r="I57" s="1352"/>
      <c r="J57" s="1353"/>
      <c r="K57" s="1354"/>
      <c r="L57" s="2"/>
    </row>
    <row r="58" spans="1:12" x14ac:dyDescent="0.35">
      <c r="A58" s="1348" t="s">
        <v>403</v>
      </c>
      <c r="B58" s="1349"/>
      <c r="C58" s="168"/>
      <c r="D58" s="1350"/>
      <c r="E58" s="1350"/>
      <c r="F58" s="1351"/>
      <c r="G58" s="1752"/>
      <c r="H58" s="1753"/>
      <c r="I58" s="1352"/>
      <c r="J58" s="1353"/>
      <c r="K58" s="1354"/>
      <c r="L58" s="2"/>
    </row>
    <row r="59" spans="1:12" x14ac:dyDescent="0.35">
      <c r="A59" s="1348" t="s">
        <v>404</v>
      </c>
      <c r="B59" s="1349"/>
      <c r="C59" s="168"/>
      <c r="D59" s="1350"/>
      <c r="E59" s="1350"/>
      <c r="F59" s="1351"/>
      <c r="G59" s="1752"/>
      <c r="H59" s="1753"/>
      <c r="I59" s="1352"/>
      <c r="J59" s="1353"/>
      <c r="K59" s="1354"/>
      <c r="L59" s="2"/>
    </row>
    <row r="60" spans="1:12" x14ac:dyDescent="0.35">
      <c r="A60" s="1348" t="s">
        <v>405</v>
      </c>
      <c r="B60" s="1349"/>
      <c r="C60" s="168"/>
      <c r="D60" s="1350"/>
      <c r="E60" s="1350"/>
      <c r="F60" s="1351"/>
      <c r="G60" s="1752"/>
      <c r="H60" s="1753"/>
      <c r="I60" s="1352"/>
      <c r="J60" s="1353"/>
      <c r="K60" s="1354"/>
      <c r="L60" s="2"/>
    </row>
    <row r="61" spans="1:12" x14ac:dyDescent="0.35">
      <c r="A61" s="1348" t="s">
        <v>406</v>
      </c>
      <c r="B61" s="1349"/>
      <c r="C61" s="168"/>
      <c r="D61" s="1350"/>
      <c r="E61" s="1350"/>
      <c r="F61" s="1351"/>
      <c r="G61" s="1752"/>
      <c r="H61" s="1753"/>
      <c r="I61" s="1352"/>
      <c r="J61" s="1353"/>
      <c r="K61" s="1354"/>
      <c r="L61" s="2"/>
    </row>
    <row r="62" spans="1:12" x14ac:dyDescent="0.35">
      <c r="A62" s="1348" t="s">
        <v>407</v>
      </c>
      <c r="B62" s="1349"/>
      <c r="C62" s="168"/>
      <c r="D62" s="1350"/>
      <c r="E62" s="1350"/>
      <c r="F62" s="1351"/>
      <c r="G62" s="1752"/>
      <c r="H62" s="1753"/>
      <c r="I62" s="1352"/>
      <c r="J62" s="1353"/>
      <c r="K62" s="1354"/>
      <c r="L62" s="2"/>
    </row>
    <row r="63" spans="1:12" x14ac:dyDescent="0.35">
      <c r="A63" s="1348" t="s">
        <v>408</v>
      </c>
      <c r="B63" s="1349"/>
      <c r="C63" s="168"/>
      <c r="D63" s="1350"/>
      <c r="E63" s="1350"/>
      <c r="F63" s="1351"/>
      <c r="G63" s="1752"/>
      <c r="H63" s="1753"/>
      <c r="I63" s="1352"/>
      <c r="J63" s="1353"/>
      <c r="K63" s="1354"/>
      <c r="L63" s="2"/>
    </row>
    <row r="64" spans="1:12" x14ac:dyDescent="0.35">
      <c r="A64" s="1348" t="s">
        <v>409</v>
      </c>
      <c r="B64" s="1349"/>
      <c r="C64" s="168"/>
      <c r="D64" s="1350"/>
      <c r="E64" s="1350"/>
      <c r="F64" s="1351"/>
      <c r="G64" s="1752"/>
      <c r="H64" s="1753"/>
      <c r="I64" s="1352"/>
      <c r="J64" s="1353"/>
      <c r="K64" s="1354"/>
      <c r="L64" s="2"/>
    </row>
    <row r="65" spans="1:12" x14ac:dyDescent="0.35">
      <c r="A65" s="1348" t="s">
        <v>410</v>
      </c>
      <c r="B65" s="1349"/>
      <c r="C65" s="168"/>
      <c r="D65" s="1350"/>
      <c r="E65" s="1350"/>
      <c r="F65" s="1351"/>
      <c r="G65" s="1752"/>
      <c r="H65" s="1753"/>
      <c r="I65" s="1352"/>
      <c r="J65" s="1353"/>
      <c r="K65" s="1354"/>
      <c r="L65" s="2"/>
    </row>
    <row r="66" spans="1:12" x14ac:dyDescent="0.35">
      <c r="A66" s="1348" t="s">
        <v>411</v>
      </c>
      <c r="B66" s="1349"/>
      <c r="C66" s="168"/>
      <c r="D66" s="1350"/>
      <c r="E66" s="1350"/>
      <c r="F66" s="1351"/>
      <c r="G66" s="1752"/>
      <c r="H66" s="1753"/>
      <c r="I66" s="1352"/>
      <c r="J66" s="1353"/>
      <c r="K66" s="1354"/>
      <c r="L66" s="2"/>
    </row>
    <row r="67" spans="1:12" x14ac:dyDescent="0.35">
      <c r="A67" s="1348" t="s">
        <v>412</v>
      </c>
      <c r="B67" s="1349"/>
      <c r="C67" s="168"/>
      <c r="D67" s="1350"/>
      <c r="E67" s="1350"/>
      <c r="F67" s="1351"/>
      <c r="G67" s="1752"/>
      <c r="H67" s="1753"/>
      <c r="I67" s="1352"/>
      <c r="J67" s="1353"/>
      <c r="K67" s="1354"/>
      <c r="L67" s="2"/>
    </row>
    <row r="68" spans="1:12" x14ac:dyDescent="0.35">
      <c r="A68" s="1348" t="s">
        <v>413</v>
      </c>
      <c r="B68" s="1349"/>
      <c r="C68" s="168"/>
      <c r="D68" s="1350"/>
      <c r="E68" s="1350"/>
      <c r="F68" s="1351"/>
      <c r="G68" s="1752"/>
      <c r="H68" s="1753"/>
      <c r="I68" s="1352"/>
      <c r="J68" s="1353"/>
      <c r="K68" s="1354"/>
      <c r="L68" s="2"/>
    </row>
    <row r="69" spans="1:12" ht="15" thickBot="1" x14ac:dyDescent="0.4">
      <c r="A69" s="1355" t="s">
        <v>414</v>
      </c>
      <c r="B69" s="1356"/>
      <c r="C69" s="187"/>
      <c r="D69" s="1357"/>
      <c r="E69" s="1357"/>
      <c r="F69" s="1358"/>
      <c r="G69" s="1754"/>
      <c r="H69" s="1755"/>
      <c r="I69" s="1359"/>
      <c r="J69" s="1360"/>
      <c r="K69" s="1361"/>
      <c r="L69" s="2"/>
    </row>
  </sheetData>
  <sheetProtection algorithmName="SHA-512" hashValue="1y5BuA2RZEYokjfyXAvBh+XUh05Wz/cbYkHGX08UTZY7oMYKeR6utr+yWanJyS+/yAQCM4RnXoVZ72bJyTkXXg==" saltValue="Nh7lFcN2Wd+yKmXhPWdGzA==" spinCount="100000" sheet="1" objects="1" scenarios="1"/>
  <protectedRanges>
    <protectedRange sqref="H1:K3 B10:K69" name="Editable Area 5_1"/>
  </protectedRanges>
  <mergeCells count="68">
    <mergeCell ref="G13:H13"/>
    <mergeCell ref="A1:E1"/>
    <mergeCell ref="G1:G3"/>
    <mergeCell ref="H1:K3"/>
    <mergeCell ref="A2:E2"/>
    <mergeCell ref="A3:E3"/>
    <mergeCell ref="G8:H8"/>
    <mergeCell ref="M8:O8"/>
    <mergeCell ref="G9:H9"/>
    <mergeCell ref="G10:H10"/>
    <mergeCell ref="G11:H11"/>
    <mergeCell ref="G12:H12"/>
    <mergeCell ref="G25:H25"/>
    <mergeCell ref="G14:H14"/>
    <mergeCell ref="G15:H15"/>
    <mergeCell ref="G16:H16"/>
    <mergeCell ref="G17:H17"/>
    <mergeCell ref="G18:H18"/>
    <mergeCell ref="G19:H19"/>
    <mergeCell ref="G20:H20"/>
    <mergeCell ref="G21:H21"/>
    <mergeCell ref="G22:H22"/>
    <mergeCell ref="G23:H23"/>
    <mergeCell ref="G24:H24"/>
    <mergeCell ref="G37:H37"/>
    <mergeCell ref="G26:H26"/>
    <mergeCell ref="G27:H27"/>
    <mergeCell ref="G28:H28"/>
    <mergeCell ref="G29:H29"/>
    <mergeCell ref="G30:H30"/>
    <mergeCell ref="G31:H31"/>
    <mergeCell ref="G32:H32"/>
    <mergeCell ref="G33:H33"/>
    <mergeCell ref="G34:H34"/>
    <mergeCell ref="G35:H35"/>
    <mergeCell ref="G36:H36"/>
    <mergeCell ref="G49:H49"/>
    <mergeCell ref="G38:H38"/>
    <mergeCell ref="G39:H39"/>
    <mergeCell ref="G40:H40"/>
    <mergeCell ref="G41:H41"/>
    <mergeCell ref="G42:H42"/>
    <mergeCell ref="G43:H43"/>
    <mergeCell ref="G44:H44"/>
    <mergeCell ref="G45:H45"/>
    <mergeCell ref="G46:H46"/>
    <mergeCell ref="G47:H47"/>
    <mergeCell ref="G48:H48"/>
    <mergeCell ref="G61:H61"/>
    <mergeCell ref="G50:H50"/>
    <mergeCell ref="G51:H51"/>
    <mergeCell ref="G52:H52"/>
    <mergeCell ref="G53:H53"/>
    <mergeCell ref="G54:H54"/>
    <mergeCell ref="G55:H55"/>
    <mergeCell ref="G56:H56"/>
    <mergeCell ref="G57:H57"/>
    <mergeCell ref="G58:H58"/>
    <mergeCell ref="G59:H59"/>
    <mergeCell ref="G60:H60"/>
    <mergeCell ref="G68:H68"/>
    <mergeCell ref="G69:H69"/>
    <mergeCell ref="G62:H62"/>
    <mergeCell ref="G63:H63"/>
    <mergeCell ref="G64:H64"/>
    <mergeCell ref="G65:H65"/>
    <mergeCell ref="G66:H66"/>
    <mergeCell ref="G67:H67"/>
  </mergeCells>
  <dataValidations count="3">
    <dataValidation type="date" allowBlank="1" showInputMessage="1" showErrorMessage="1" sqref="D10:E69" xr:uid="{F37030BD-8A10-453C-9B57-77441B1BFECB}">
      <formula1>43101</formula1>
      <formula2>54789</formula2>
    </dataValidation>
    <dataValidation type="list" allowBlank="1" showInputMessage="1" showErrorMessage="1" sqref="C10:C69" xr:uid="{5E08B8DB-8A52-4ABC-9863-1B672FC8B088}">
      <formula1>$M$10:$M$23</formula1>
    </dataValidation>
    <dataValidation type="list" allowBlank="1" showInputMessage="1" showErrorMessage="1" sqref="F10:F69" xr:uid="{132E3769-C717-4BFE-8BE6-F1FED473612C}">
      <formula1>$O$10:$O$17</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showInputMessage="1" showErrorMessage="1" xr:uid="{8FF52B82-3F9F-4CF3-814F-E85B62D90C26}">
          <x14:formula1>
            <xm:f>Buildings!$B$9:$B$41</xm:f>
          </x14:formula1>
          <xm:sqref>B10:B69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A9A1C-1EEE-4864-B584-1491A29D8D85}">
  <sheetPr>
    <tabColor rgb="FF00B050"/>
  </sheetPr>
  <dimension ref="A1:N5"/>
  <sheetViews>
    <sheetView zoomScale="110" zoomScaleNormal="110" workbookViewId="0">
      <selection activeCell="B4" sqref="B4"/>
    </sheetView>
  </sheetViews>
  <sheetFormatPr defaultColWidth="8.81640625" defaultRowHeight="14.5" x14ac:dyDescent="0.35"/>
  <cols>
    <col min="1" max="1" width="41.26953125" customWidth="1"/>
    <col min="2" max="2" width="31.26953125" customWidth="1"/>
    <col min="3" max="3" width="29.26953125" customWidth="1"/>
    <col min="4" max="4" width="14.7265625" customWidth="1"/>
    <col min="5" max="5" width="14.26953125" customWidth="1"/>
  </cols>
  <sheetData>
    <row r="1" spans="1:14" ht="32.25" customHeight="1" thickBot="1" x14ac:dyDescent="0.4">
      <c r="A1" s="1790" t="s">
        <v>415</v>
      </c>
      <c r="B1" s="1791"/>
    </row>
    <row r="2" spans="1:14" ht="138" customHeight="1" thickBot="1" x14ac:dyDescent="0.4">
      <c r="A2" s="1682" t="s">
        <v>416</v>
      </c>
      <c r="B2" s="1683"/>
      <c r="C2" s="1683"/>
      <c r="D2" s="1683"/>
      <c r="E2" s="1684"/>
      <c r="F2" s="4"/>
      <c r="G2" s="320"/>
      <c r="N2" s="801"/>
    </row>
    <row r="3" spans="1:14" ht="15" thickBot="1" x14ac:dyDescent="0.4"/>
    <row r="4" spans="1:14" ht="44" thickBot="1" x14ac:dyDescent="0.4">
      <c r="A4" s="940" t="s">
        <v>417</v>
      </c>
      <c r="B4" s="941" t="s">
        <v>2115</v>
      </c>
      <c r="C4" s="1152" t="s">
        <v>219</v>
      </c>
      <c r="D4" s="1786" t="s">
        <v>419</v>
      </c>
      <c r="E4" s="1787"/>
    </row>
    <row r="5" spans="1:14" ht="44" thickBot="1" x14ac:dyDescent="0.4">
      <c r="A5" s="1047" t="s">
        <v>420</v>
      </c>
      <c r="B5" s="1154">
        <v>1000</v>
      </c>
      <c r="C5" s="1181">
        <f>IFERROR(((VLOOKUP(B4,'Procurement properties_T1'!A18:N227,14,0))*B5),"No Data-Select a region or economic classification group")</f>
        <v>975.50520514390701</v>
      </c>
      <c r="D5" s="1788">
        <f>(VLOOKUP(B4,'Procurement properties_T1'!$A$18:$Q$227,17,0))</f>
        <v>1</v>
      </c>
      <c r="E5" s="1789"/>
    </row>
  </sheetData>
  <sheetProtection algorithmName="SHA-512" hashValue="xdQLpGyrKTn807YL/PBdVW6es2qJSXsjD4AW+yX2Wlyp4EruZrRWkvrqT0Tlk111tgTnHogU5O9Qu92Q4bid+g==" saltValue="1aVHb4iS3QbMQU552NHccw==" spinCount="100000" sheet="1" objects="1" scenarios="1"/>
  <protectedRanges>
    <protectedRange sqref="B4:B5" name="Range2_1_1"/>
  </protectedRanges>
  <mergeCells count="4">
    <mergeCell ref="D4:E4"/>
    <mergeCell ref="D5:E5"/>
    <mergeCell ref="A2:E2"/>
    <mergeCell ref="A1:B1"/>
  </mergeCells>
  <conditionalFormatting sqref="C5">
    <cfRule type="containsText" dxfId="82" priority="1" operator="containsText" text="No Data-Select a region or economic classification group">
      <formula>NOT(ISERROR(SEARCH("No Data-Select a region or economic classification group",C5)))</formula>
    </cfRule>
  </conditionalFormatting>
  <dataValidations count="1">
    <dataValidation type="decimal" allowBlank="1" showInputMessage="1" showErrorMessage="1" errorTitle="Number only" error="Enter a number only" sqref="B5" xr:uid="{11DA7114-2D39-4371-8229-25E659031D85}">
      <formula1>0</formula1>
      <formula2>1000000000</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718A5BB-F2CD-40DB-A5C6-9BF1F6245878}">
          <x14:formula1>
            <xm:f>'Procurement properties_T1'!$A$18:$A$227</xm:f>
          </x14:formula1>
          <xm:sqref>B4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4BD24-3FA2-446D-AC31-3C7E69E9BC80}">
  <sheetPr codeName="Sheet5">
    <tabColor rgb="FF00B050"/>
  </sheetPr>
  <dimension ref="A1:BX41"/>
  <sheetViews>
    <sheetView topLeftCell="AH3" zoomScale="85" zoomScaleNormal="85" workbookViewId="0">
      <selection activeCell="AN12" sqref="AN12"/>
    </sheetView>
  </sheetViews>
  <sheetFormatPr defaultColWidth="24.81640625" defaultRowHeight="14.5" x14ac:dyDescent="0.35"/>
  <cols>
    <col min="2" max="2" width="48" style="3" customWidth="1"/>
    <col min="3" max="3" width="51.1796875" style="2" customWidth="1"/>
    <col min="4" max="4" width="26.7265625" style="2" hidden="1" customWidth="1"/>
    <col min="5" max="5" width="26.7265625" style="2" bestFit="1" customWidth="1"/>
    <col min="6" max="6" width="29.1796875" style="2" customWidth="1"/>
    <col min="7" max="7" width="24.7265625" bestFit="1" customWidth="1"/>
    <col min="8" max="8" width="18.1796875" hidden="1" customWidth="1"/>
    <col min="9" max="9" width="20.81640625" style="2" customWidth="1"/>
    <col min="10" max="10" width="19.26953125" customWidth="1"/>
    <col min="11" max="11" width="19.453125" customWidth="1"/>
    <col min="14" max="14" width="30.26953125" customWidth="1"/>
    <col min="15" max="40" width="27.26953125" customWidth="1"/>
    <col min="41" max="41" width="24.81640625" customWidth="1"/>
    <col min="42" max="42" width="19.81640625" hidden="1" customWidth="1"/>
    <col min="43" max="43" width="4.453125" hidden="1" customWidth="1"/>
    <col min="44" max="44" width="32.81640625" hidden="1" customWidth="1"/>
  </cols>
  <sheetData>
    <row r="1" spans="1:76" ht="37.5" customHeight="1" thickBot="1" x14ac:dyDescent="0.4">
      <c r="A1" s="1790" t="s">
        <v>415</v>
      </c>
      <c r="B1" s="1791"/>
    </row>
    <row r="2" spans="1:76" ht="40.5" customHeight="1" x14ac:dyDescent="0.35">
      <c r="A2" s="1795" t="s">
        <v>421</v>
      </c>
      <c r="B2" s="1796"/>
      <c r="C2" s="1797"/>
      <c r="D2" s="4"/>
      <c r="E2" s="4"/>
      <c r="F2"/>
      <c r="I2" s="1765" t="s">
        <v>309</v>
      </c>
      <c r="J2" s="1768" t="s">
        <v>422</v>
      </c>
      <c r="K2" s="1769"/>
      <c r="L2" s="1769"/>
      <c r="M2" s="1769"/>
      <c r="N2" s="1769"/>
      <c r="O2" s="1770"/>
      <c r="P2" s="329"/>
      <c r="Q2" s="329"/>
      <c r="R2" s="329"/>
      <c r="S2" s="329"/>
      <c r="T2" s="329"/>
      <c r="U2" s="329"/>
      <c r="V2" s="329"/>
      <c r="W2" s="329"/>
      <c r="X2" s="329"/>
      <c r="Y2" s="329"/>
      <c r="Z2" s="329"/>
      <c r="AA2" s="329"/>
      <c r="AB2" s="329"/>
      <c r="AC2" s="329"/>
      <c r="AD2" s="329"/>
      <c r="AE2" s="329"/>
      <c r="AF2" s="329"/>
      <c r="AG2" s="329"/>
      <c r="AH2" s="329"/>
      <c r="AI2" s="329"/>
      <c r="AJ2" s="329"/>
      <c r="AK2" s="329"/>
    </row>
    <row r="3" spans="1:76" ht="138.75" customHeight="1" x14ac:dyDescent="0.35">
      <c r="A3" s="1798" t="s">
        <v>423</v>
      </c>
      <c r="B3" s="1799"/>
      <c r="C3" s="1800"/>
      <c r="D3" s="4"/>
      <c r="E3" s="4"/>
      <c r="F3"/>
      <c r="I3" s="1766"/>
      <c r="J3" s="1771"/>
      <c r="K3" s="1772"/>
      <c r="L3" s="1772"/>
      <c r="M3" s="1772"/>
      <c r="N3" s="1772"/>
      <c r="O3" s="1773"/>
      <c r="P3" s="329"/>
      <c r="Q3" s="329"/>
      <c r="R3" s="329"/>
      <c r="S3" s="329"/>
      <c r="T3" s="329"/>
      <c r="U3" s="329"/>
      <c r="V3" s="329"/>
      <c r="W3" s="329"/>
      <c r="X3" s="329"/>
      <c r="Y3" s="329"/>
      <c r="Z3" s="329"/>
      <c r="AA3" s="329"/>
      <c r="AB3" s="329"/>
      <c r="AC3" s="329"/>
      <c r="AD3" s="329"/>
      <c r="AE3" s="329"/>
      <c r="AF3" s="329"/>
      <c r="AG3" s="329"/>
      <c r="AH3" s="329"/>
      <c r="AI3" s="329"/>
      <c r="AJ3" s="329"/>
      <c r="AK3" s="329"/>
    </row>
    <row r="4" spans="1:76" ht="66.75" customHeight="1" thickBot="1" x14ac:dyDescent="0.4">
      <c r="A4" s="1801" t="s">
        <v>424</v>
      </c>
      <c r="B4" s="1802"/>
      <c r="C4" s="1803"/>
      <c r="D4" s="4"/>
      <c r="E4" s="4"/>
      <c r="F4"/>
      <c r="I4" s="1767"/>
      <c r="J4" s="1774"/>
      <c r="K4" s="1775"/>
      <c r="L4" s="1775"/>
      <c r="M4" s="1775"/>
      <c r="N4" s="1775"/>
      <c r="O4" s="1776"/>
      <c r="P4" s="329"/>
      <c r="Q4" s="329"/>
      <c r="R4" s="329"/>
      <c r="S4" s="329"/>
      <c r="T4" s="329"/>
      <c r="U4" s="329"/>
      <c r="V4" s="329"/>
      <c r="W4" s="329"/>
      <c r="X4" s="329"/>
      <c r="Y4" s="329"/>
      <c r="Z4" s="329"/>
      <c r="AA4" s="329"/>
      <c r="AB4" s="329"/>
      <c r="AC4" s="329"/>
      <c r="AD4" s="329"/>
      <c r="AE4" s="329"/>
      <c r="AF4" s="329"/>
      <c r="AG4" s="329"/>
      <c r="AH4" s="329"/>
      <c r="AI4" s="329"/>
      <c r="AJ4" s="329"/>
      <c r="AK4" s="329"/>
    </row>
    <row r="5" spans="1:76" ht="15" thickBot="1" x14ac:dyDescent="0.4">
      <c r="BT5" s="1792" t="s">
        <v>325</v>
      </c>
      <c r="BU5" s="1793"/>
      <c r="BV5" s="1793"/>
      <c r="BW5" s="1793"/>
      <c r="BX5" s="1794"/>
    </row>
    <row r="6" spans="1:76" s="4" customFormat="1" ht="111" customHeight="1" thickBot="1" x14ac:dyDescent="0.4">
      <c r="A6" s="887" t="s">
        <v>425</v>
      </c>
      <c r="B6" s="888" t="s">
        <v>426</v>
      </c>
      <c r="C6" s="888" t="s">
        <v>427</v>
      </c>
      <c r="D6" s="888" t="s">
        <v>428</v>
      </c>
      <c r="E6" s="888" t="s">
        <v>428</v>
      </c>
      <c r="F6" s="888" t="s">
        <v>429</v>
      </c>
      <c r="G6" s="889" t="s">
        <v>430</v>
      </c>
      <c r="H6" s="889" t="s">
        <v>431</v>
      </c>
      <c r="I6" s="888" t="s">
        <v>432</v>
      </c>
      <c r="J6" s="224" t="s">
        <v>433</v>
      </c>
      <c r="K6" s="224" t="s">
        <v>434</v>
      </c>
      <c r="L6" s="224" t="s">
        <v>435</v>
      </c>
      <c r="M6" s="224" t="s">
        <v>436</v>
      </c>
      <c r="N6" s="224" t="s">
        <v>437</v>
      </c>
      <c r="O6" s="224" t="s">
        <v>438</v>
      </c>
      <c r="P6" s="889" t="s">
        <v>439</v>
      </c>
      <c r="Q6" s="889" t="s">
        <v>440</v>
      </c>
      <c r="R6" s="889" t="s">
        <v>441</v>
      </c>
      <c r="S6" s="889" t="s">
        <v>442</v>
      </c>
      <c r="T6" s="889" t="s">
        <v>443</v>
      </c>
      <c r="U6" s="889" t="s">
        <v>444</v>
      </c>
      <c r="V6" s="889" t="s">
        <v>445</v>
      </c>
      <c r="W6" s="889" t="s">
        <v>446</v>
      </c>
      <c r="X6" s="889" t="s">
        <v>447</v>
      </c>
      <c r="Y6" s="889" t="s">
        <v>448</v>
      </c>
      <c r="Z6" s="889" t="s">
        <v>449</v>
      </c>
      <c r="AA6" s="889" t="s">
        <v>450</v>
      </c>
      <c r="AB6" s="889" t="s">
        <v>451</v>
      </c>
      <c r="AC6" s="889" t="s">
        <v>452</v>
      </c>
      <c r="AD6" s="889" t="s">
        <v>453</v>
      </c>
      <c r="AE6" s="889" t="s">
        <v>454</v>
      </c>
      <c r="AF6" s="889" t="s">
        <v>455</v>
      </c>
      <c r="AG6" s="889" t="s">
        <v>456</v>
      </c>
      <c r="AH6" s="889" t="s">
        <v>457</v>
      </c>
      <c r="AI6" s="889" t="s">
        <v>458</v>
      </c>
      <c r="AJ6" s="889" t="s">
        <v>459</v>
      </c>
      <c r="AK6" s="889" t="s">
        <v>460</v>
      </c>
      <c r="AL6" s="889" t="s">
        <v>461</v>
      </c>
      <c r="AM6" s="889" t="s">
        <v>462</v>
      </c>
      <c r="AN6" s="890" t="s">
        <v>463</v>
      </c>
    </row>
    <row r="7" spans="1:76" s="4" customFormat="1" ht="32.25" customHeight="1" thickBot="1" x14ac:dyDescent="0.4">
      <c r="A7" s="881"/>
      <c r="B7" s="882"/>
      <c r="C7" s="882"/>
      <c r="D7" s="878">
        <f>'Cover Sheet'!B14</f>
        <v>0</v>
      </c>
      <c r="E7" s="878">
        <f>'Cover Sheet'!B14</f>
        <v>0</v>
      </c>
      <c r="F7" s="882"/>
      <c r="G7" s="883"/>
      <c r="H7" s="883"/>
      <c r="I7" s="882"/>
      <c r="J7" s="829"/>
      <c r="K7" s="883"/>
      <c r="L7" s="829"/>
      <c r="M7" s="829"/>
      <c r="N7" s="883"/>
      <c r="O7" s="884"/>
      <c r="P7" s="885"/>
      <c r="Q7" s="883"/>
      <c r="R7" s="883"/>
      <c r="S7" s="883"/>
      <c r="T7" s="883"/>
      <c r="U7" s="883"/>
      <c r="V7" s="883"/>
      <c r="W7" s="883"/>
      <c r="X7" s="883"/>
      <c r="Y7" s="883"/>
      <c r="Z7" s="883"/>
      <c r="AA7" s="883"/>
      <c r="AB7" s="883"/>
      <c r="AC7" s="883"/>
      <c r="AD7" s="883"/>
      <c r="AE7" s="883"/>
      <c r="AF7" s="883"/>
      <c r="AG7" s="883"/>
      <c r="AH7" s="883"/>
      <c r="AI7" s="883"/>
      <c r="AJ7" s="883"/>
      <c r="AK7" s="883"/>
      <c r="AL7" s="883"/>
      <c r="AM7" s="883"/>
      <c r="AN7" s="886"/>
    </row>
    <row r="8" spans="1:76" ht="29.5" thickBot="1" x14ac:dyDescent="0.4">
      <c r="A8" s="174"/>
      <c r="B8" s="554" t="s">
        <v>464</v>
      </c>
      <c r="C8" s="410" t="s">
        <v>464</v>
      </c>
      <c r="D8" s="877" t="s">
        <v>465</v>
      </c>
      <c r="E8" s="877" t="s">
        <v>465</v>
      </c>
      <c r="F8" s="410" t="s">
        <v>466</v>
      </c>
      <c r="G8" s="657" t="s">
        <v>467</v>
      </c>
      <c r="H8" s="876" t="s">
        <v>468</v>
      </c>
      <c r="I8" s="410" t="s">
        <v>469</v>
      </c>
      <c r="J8" s="712" t="s">
        <v>329</v>
      </c>
      <c r="K8" s="438" t="s">
        <v>467</v>
      </c>
      <c r="L8" s="411" t="s">
        <v>470</v>
      </c>
      <c r="M8" s="411" t="s">
        <v>470</v>
      </c>
      <c r="N8" s="438" t="s">
        <v>329</v>
      </c>
      <c r="O8" s="412" t="s">
        <v>464</v>
      </c>
      <c r="P8" s="414" t="s">
        <v>471</v>
      </c>
      <c r="Q8" s="414" t="s">
        <v>471</v>
      </c>
      <c r="R8" s="414" t="s">
        <v>471</v>
      </c>
      <c r="S8" s="414" t="s">
        <v>471</v>
      </c>
      <c r="T8" s="414" t="s">
        <v>471</v>
      </c>
      <c r="U8" s="231" t="s">
        <v>467</v>
      </c>
      <c r="V8" s="414" t="s">
        <v>471</v>
      </c>
      <c r="W8" s="414" t="s">
        <v>471</v>
      </c>
      <c r="X8" s="414" t="s">
        <v>471</v>
      </c>
      <c r="Y8" s="231" t="s">
        <v>464</v>
      </c>
      <c r="Z8" s="231" t="s">
        <v>464</v>
      </c>
      <c r="AA8" s="231" t="s">
        <v>467</v>
      </c>
      <c r="AB8" s="414" t="s">
        <v>471</v>
      </c>
      <c r="AC8" s="414" t="s">
        <v>471</v>
      </c>
      <c r="AD8" s="414" t="s">
        <v>471</v>
      </c>
      <c r="AE8" s="414" t="s">
        <v>471</v>
      </c>
      <c r="AF8" s="414" t="s">
        <v>471</v>
      </c>
      <c r="AG8" s="414" t="s">
        <v>471</v>
      </c>
      <c r="AH8" s="414" t="s">
        <v>471</v>
      </c>
      <c r="AI8" s="231" t="s">
        <v>464</v>
      </c>
      <c r="AJ8" s="414" t="s">
        <v>471</v>
      </c>
      <c r="AK8" s="414" t="s">
        <v>471</v>
      </c>
      <c r="AL8" s="414" t="s">
        <v>471</v>
      </c>
      <c r="AM8" s="414" t="s">
        <v>471</v>
      </c>
      <c r="AN8" s="414" t="s">
        <v>471</v>
      </c>
    </row>
    <row r="9" spans="1:76" hidden="1" x14ac:dyDescent="0.35">
      <c r="A9" s="511"/>
      <c r="B9" s="255" t="s">
        <v>337</v>
      </c>
      <c r="C9" s="809"/>
      <c r="D9" s="1117" t="s">
        <v>472</v>
      </c>
      <c r="E9" s="1117"/>
      <c r="F9" s="1118"/>
      <c r="G9" s="1118"/>
      <c r="H9" s="1118" t="s">
        <v>472</v>
      </c>
      <c r="I9" s="809"/>
      <c r="J9" s="516"/>
      <c r="K9" s="797"/>
      <c r="L9" s="797"/>
      <c r="M9" s="797"/>
      <c r="N9" s="797"/>
      <c r="O9" s="797"/>
      <c r="P9" s="797"/>
      <c r="Q9" s="797"/>
      <c r="R9" s="797"/>
      <c r="S9" s="797"/>
      <c r="T9" s="797"/>
      <c r="U9" s="797"/>
      <c r="V9" s="797"/>
      <c r="W9" s="797"/>
      <c r="X9" s="797"/>
      <c r="Y9" s="797"/>
      <c r="Z9" s="797"/>
      <c r="AA9" s="797"/>
      <c r="AB9" s="797"/>
      <c r="AC9" s="797"/>
      <c r="AD9" s="797"/>
      <c r="AE9" s="797"/>
      <c r="AF9" s="797"/>
      <c r="AG9" s="797"/>
      <c r="AH9" s="797"/>
      <c r="AI9" s="797"/>
      <c r="AJ9" s="797"/>
      <c r="AK9" s="797"/>
      <c r="AL9" s="797"/>
      <c r="AM9" s="797"/>
      <c r="AN9" s="503"/>
    </row>
    <row r="10" spans="1:76" hidden="1" x14ac:dyDescent="0.35">
      <c r="A10" s="747"/>
      <c r="B10" s="158" t="s">
        <v>341</v>
      </c>
      <c r="C10" s="637"/>
      <c r="D10" s="1117" t="s">
        <v>472</v>
      </c>
      <c r="E10" s="1119"/>
      <c r="F10" s="1119"/>
      <c r="G10" s="1119"/>
      <c r="H10" s="1119" t="s">
        <v>472</v>
      </c>
      <c r="I10" s="637"/>
      <c r="J10" s="606"/>
      <c r="K10" s="606"/>
      <c r="L10" s="606"/>
      <c r="M10" s="606"/>
      <c r="N10" s="606"/>
      <c r="O10" s="606"/>
      <c r="P10" s="606"/>
      <c r="Q10" s="606"/>
      <c r="R10" s="606"/>
      <c r="S10" s="606"/>
      <c r="T10" s="606"/>
      <c r="U10" s="606"/>
      <c r="V10" s="606"/>
      <c r="W10" s="606"/>
      <c r="X10" s="606"/>
      <c r="Y10" s="606"/>
      <c r="Z10" s="606"/>
      <c r="AA10" s="606"/>
      <c r="AB10" s="606"/>
      <c r="AC10" s="606"/>
      <c r="AD10" s="606"/>
      <c r="AE10" s="606"/>
      <c r="AF10" s="606"/>
      <c r="AG10" s="606"/>
      <c r="AH10" s="606"/>
      <c r="AI10" s="606"/>
      <c r="AJ10" s="606"/>
      <c r="AK10" s="606"/>
      <c r="AL10" s="606"/>
      <c r="AM10" s="606"/>
      <c r="AN10" s="622"/>
    </row>
    <row r="11" spans="1:76" ht="15" hidden="1" thickBot="1" x14ac:dyDescent="0.4">
      <c r="A11" s="504"/>
      <c r="B11" s="250" t="s">
        <v>345</v>
      </c>
      <c r="C11" s="810"/>
      <c r="D11" s="1117" t="s">
        <v>472</v>
      </c>
      <c r="E11" s="1120"/>
      <c r="F11" s="1120"/>
      <c r="G11" s="1120"/>
      <c r="H11" s="1120" t="s">
        <v>472</v>
      </c>
      <c r="I11" s="810"/>
      <c r="J11" s="505"/>
      <c r="K11" s="505"/>
      <c r="L11" s="505"/>
      <c r="M11" s="505"/>
      <c r="N11" s="505"/>
      <c r="O11" s="505"/>
      <c r="P11" s="505"/>
      <c r="Q11" s="505"/>
      <c r="R11" s="505"/>
      <c r="S11" s="505"/>
      <c r="T11" s="505"/>
      <c r="U11" s="505"/>
      <c r="V11" s="505"/>
      <c r="W11" s="505"/>
      <c r="X11" s="505"/>
      <c r="Y11" s="505"/>
      <c r="Z11" s="505"/>
      <c r="AA11" s="505"/>
      <c r="AB11" s="505"/>
      <c r="AC11" s="505"/>
      <c r="AD11" s="505"/>
      <c r="AE11" s="505"/>
      <c r="AF11" s="505"/>
      <c r="AG11" s="505"/>
      <c r="AH11" s="505"/>
      <c r="AI11" s="505"/>
      <c r="AJ11" s="505"/>
      <c r="AK11" s="505"/>
      <c r="AL11" s="505"/>
      <c r="AM11" s="505"/>
      <c r="AN11" s="506"/>
    </row>
    <row r="12" spans="1:76" ht="15" thickBot="1" x14ac:dyDescent="0.4">
      <c r="A12" s="553">
        <v>1</v>
      </c>
      <c r="B12" s="1174" t="s">
        <v>2593</v>
      </c>
      <c r="C12" s="1168"/>
      <c r="D12" s="1169" t="s">
        <v>472</v>
      </c>
      <c r="E12" s="1169" t="s">
        <v>473</v>
      </c>
      <c r="F12" s="197"/>
      <c r="G12" s="199"/>
      <c r="H12" s="912" t="s">
        <v>473</v>
      </c>
      <c r="I12" s="199"/>
      <c r="J12" s="199"/>
      <c r="K12" s="199"/>
      <c r="L12" s="576">
        <v>1000</v>
      </c>
      <c r="M12" s="199"/>
      <c r="N12" s="197" t="s">
        <v>487</v>
      </c>
      <c r="O12" s="197"/>
      <c r="P12" s="327" t="s">
        <v>473</v>
      </c>
      <c r="Q12" s="327" t="s">
        <v>473</v>
      </c>
      <c r="R12" s="327"/>
      <c r="S12" s="327"/>
      <c r="T12" s="327"/>
      <c r="U12" s="532"/>
      <c r="V12" s="327"/>
      <c r="W12" s="199"/>
      <c r="X12" s="327"/>
      <c r="Y12" s="197"/>
      <c r="Z12" s="197"/>
      <c r="AA12" s="199"/>
      <c r="AB12" s="327"/>
      <c r="AC12" s="327"/>
      <c r="AD12" s="199"/>
      <c r="AE12" s="199"/>
      <c r="AF12" s="327"/>
      <c r="AG12" s="327"/>
      <c r="AH12" s="327"/>
      <c r="AI12" s="197"/>
      <c r="AJ12" s="327"/>
      <c r="AK12" s="327"/>
      <c r="AL12" s="327"/>
      <c r="AM12" s="327"/>
      <c r="AN12" s="413"/>
      <c r="AP12" s="1694" t="s">
        <v>474</v>
      </c>
      <c r="AQ12" s="1695"/>
      <c r="AR12" s="1695"/>
    </row>
    <row r="13" spans="1:76" ht="15" thickBot="1" x14ac:dyDescent="0.4">
      <c r="A13" s="891">
        <v>2</v>
      </c>
      <c r="B13" s="1175" t="s">
        <v>2594</v>
      </c>
      <c r="C13" s="1170"/>
      <c r="D13" s="1171" t="s">
        <v>472</v>
      </c>
      <c r="E13" s="1171" t="s">
        <v>480</v>
      </c>
      <c r="F13" s="198"/>
      <c r="G13" s="166"/>
      <c r="H13" s="879" t="s">
        <v>473</v>
      </c>
      <c r="I13" s="166"/>
      <c r="J13" s="166"/>
      <c r="K13" s="166"/>
      <c r="L13" s="574">
        <v>1500</v>
      </c>
      <c r="M13" s="166"/>
      <c r="N13" s="198" t="s">
        <v>478</v>
      </c>
      <c r="O13" s="198"/>
      <c r="P13" s="893"/>
      <c r="Q13" s="893"/>
      <c r="R13" s="893"/>
      <c r="S13" s="893"/>
      <c r="T13" s="893"/>
      <c r="U13" s="894"/>
      <c r="V13" s="893"/>
      <c r="W13" s="166"/>
      <c r="X13" s="893"/>
      <c r="Y13" s="198"/>
      <c r="Z13" s="198"/>
      <c r="AA13" s="166"/>
      <c r="AB13" s="893"/>
      <c r="AC13" s="893"/>
      <c r="AD13" s="166"/>
      <c r="AE13" s="166"/>
      <c r="AF13" s="893"/>
      <c r="AG13" s="893"/>
      <c r="AH13" s="893"/>
      <c r="AI13" s="198"/>
      <c r="AJ13" s="893"/>
      <c r="AK13" s="893"/>
      <c r="AL13" s="893"/>
      <c r="AM13" s="893"/>
      <c r="AN13" s="895"/>
      <c r="AP13" s="480" t="s">
        <v>475</v>
      </c>
      <c r="AQ13" s="481" t="s">
        <v>471</v>
      </c>
      <c r="AR13" s="481" t="s">
        <v>476</v>
      </c>
    </row>
    <row r="14" spans="1:76" x14ac:dyDescent="0.35">
      <c r="A14" s="891">
        <v>3</v>
      </c>
      <c r="B14" s="1175"/>
      <c r="C14" s="1170"/>
      <c r="D14" s="1171" t="s">
        <v>472</v>
      </c>
      <c r="E14" s="1171"/>
      <c r="F14" s="198"/>
      <c r="G14" s="166"/>
      <c r="H14" s="879" t="s">
        <v>473</v>
      </c>
      <c r="I14" s="166"/>
      <c r="J14" s="166"/>
      <c r="K14" s="166"/>
      <c r="L14" s="574"/>
      <c r="M14" s="166"/>
      <c r="N14" s="198"/>
      <c r="O14" s="198"/>
      <c r="P14" s="893"/>
      <c r="Q14" s="893"/>
      <c r="R14" s="893"/>
      <c r="S14" s="893"/>
      <c r="T14" s="893"/>
      <c r="U14" s="894"/>
      <c r="V14" s="893"/>
      <c r="W14" s="166"/>
      <c r="X14" s="893"/>
      <c r="Y14" s="198"/>
      <c r="Z14" s="198"/>
      <c r="AA14" s="166"/>
      <c r="AB14" s="893"/>
      <c r="AC14" s="893"/>
      <c r="AD14" s="166"/>
      <c r="AE14" s="166"/>
      <c r="AF14" s="893"/>
      <c r="AG14" s="893"/>
      <c r="AH14" s="893"/>
      <c r="AI14" s="198"/>
      <c r="AJ14" s="893"/>
      <c r="AK14" s="893"/>
      <c r="AL14" s="893"/>
      <c r="AM14" s="893"/>
      <c r="AN14" s="895"/>
      <c r="AP14" s="254" t="s">
        <v>477</v>
      </c>
      <c r="AQ14" s="255" t="s">
        <v>473</v>
      </c>
      <c r="AR14" s="255" t="s">
        <v>478</v>
      </c>
    </row>
    <row r="15" spans="1:76" x14ac:dyDescent="0.35">
      <c r="A15" s="891">
        <v>4</v>
      </c>
      <c r="B15" s="1175"/>
      <c r="C15" s="1170"/>
      <c r="D15" s="1171" t="s">
        <v>472</v>
      </c>
      <c r="E15" s="1171"/>
      <c r="F15" s="198"/>
      <c r="G15" s="166"/>
      <c r="H15" s="879" t="s">
        <v>473</v>
      </c>
      <c r="I15" s="166"/>
      <c r="J15" s="166"/>
      <c r="K15" s="166"/>
      <c r="L15" s="574"/>
      <c r="M15" s="166"/>
      <c r="N15" s="198"/>
      <c r="O15" s="198"/>
      <c r="P15" s="893"/>
      <c r="Q15" s="893"/>
      <c r="R15" s="893"/>
      <c r="S15" s="893"/>
      <c r="T15" s="893"/>
      <c r="U15" s="894"/>
      <c r="V15" s="893"/>
      <c r="W15" s="166"/>
      <c r="X15" s="893"/>
      <c r="Y15" s="198"/>
      <c r="Z15" s="198"/>
      <c r="AA15" s="166"/>
      <c r="AB15" s="893"/>
      <c r="AC15" s="893"/>
      <c r="AD15" s="166"/>
      <c r="AE15" s="166"/>
      <c r="AF15" s="893"/>
      <c r="AG15" s="893"/>
      <c r="AH15" s="893"/>
      <c r="AI15" s="198"/>
      <c r="AJ15" s="893"/>
      <c r="AK15" s="893"/>
      <c r="AL15" s="893"/>
      <c r="AM15" s="893"/>
      <c r="AN15" s="895"/>
      <c r="AP15" s="235" t="s">
        <v>479</v>
      </c>
      <c r="AQ15" s="158" t="s">
        <v>480</v>
      </c>
      <c r="AR15" s="158" t="s">
        <v>481</v>
      </c>
    </row>
    <row r="16" spans="1:76" x14ac:dyDescent="0.35">
      <c r="A16" s="891">
        <v>5</v>
      </c>
      <c r="B16" s="1175"/>
      <c r="C16" s="1170"/>
      <c r="D16" s="1171" t="s">
        <v>472</v>
      </c>
      <c r="E16" s="1171"/>
      <c r="F16" s="198"/>
      <c r="G16" s="166"/>
      <c r="H16" s="879" t="s">
        <v>473</v>
      </c>
      <c r="I16" s="166"/>
      <c r="J16" s="166"/>
      <c r="K16" s="166"/>
      <c r="L16" s="574"/>
      <c r="M16" s="166"/>
      <c r="N16" s="198"/>
      <c r="O16" s="198"/>
      <c r="P16" s="893"/>
      <c r="Q16" s="893"/>
      <c r="R16" s="893"/>
      <c r="S16" s="893"/>
      <c r="T16" s="893"/>
      <c r="U16" s="894"/>
      <c r="V16" s="893"/>
      <c r="W16" s="166"/>
      <c r="X16" s="893"/>
      <c r="Y16" s="198"/>
      <c r="Z16" s="198"/>
      <c r="AA16" s="166"/>
      <c r="AB16" s="893"/>
      <c r="AC16" s="893"/>
      <c r="AD16" s="166"/>
      <c r="AE16" s="166"/>
      <c r="AF16" s="893"/>
      <c r="AG16" s="893"/>
      <c r="AH16" s="893"/>
      <c r="AI16" s="198"/>
      <c r="AJ16" s="893"/>
      <c r="AK16" s="893"/>
      <c r="AL16" s="893"/>
      <c r="AM16" s="893"/>
      <c r="AN16" s="895"/>
      <c r="AP16" s="235" t="s">
        <v>482</v>
      </c>
      <c r="AQ16" s="158" t="s">
        <v>483</v>
      </c>
      <c r="AR16" s="158" t="s">
        <v>484</v>
      </c>
    </row>
    <row r="17" spans="1:44" x14ac:dyDescent="0.35">
      <c r="A17" s="891">
        <v>6</v>
      </c>
      <c r="B17" s="1175"/>
      <c r="C17" s="1170"/>
      <c r="D17" s="1171" t="s">
        <v>472</v>
      </c>
      <c r="E17" s="1171"/>
      <c r="F17" s="198"/>
      <c r="G17" s="166"/>
      <c r="H17" s="879" t="s">
        <v>473</v>
      </c>
      <c r="I17" s="166"/>
      <c r="J17" s="166"/>
      <c r="K17" s="166"/>
      <c r="L17" s="574"/>
      <c r="M17" s="166"/>
      <c r="N17" s="198"/>
      <c r="O17" s="198"/>
      <c r="P17" s="893"/>
      <c r="Q17" s="893"/>
      <c r="R17" s="893"/>
      <c r="S17" s="893"/>
      <c r="T17" s="893"/>
      <c r="U17" s="894"/>
      <c r="V17" s="893"/>
      <c r="W17" s="166"/>
      <c r="X17" s="893"/>
      <c r="Y17" s="198"/>
      <c r="Z17" s="198"/>
      <c r="AA17" s="166"/>
      <c r="AB17" s="893"/>
      <c r="AC17" s="893"/>
      <c r="AD17" s="166"/>
      <c r="AE17" s="166"/>
      <c r="AF17" s="893"/>
      <c r="AG17" s="893"/>
      <c r="AH17" s="893"/>
      <c r="AI17" s="198"/>
      <c r="AJ17" s="893"/>
      <c r="AK17" s="893"/>
      <c r="AL17" s="893"/>
      <c r="AM17" s="893"/>
      <c r="AN17" s="895"/>
      <c r="AP17" s="235" t="s">
        <v>485</v>
      </c>
      <c r="AQ17" s="158"/>
      <c r="AR17" s="158" t="s">
        <v>486</v>
      </c>
    </row>
    <row r="18" spans="1:44" x14ac:dyDescent="0.35">
      <c r="A18" s="891">
        <v>7</v>
      </c>
      <c r="B18" s="1175"/>
      <c r="C18" s="1170"/>
      <c r="D18" s="1171" t="s">
        <v>472</v>
      </c>
      <c r="E18" s="1171"/>
      <c r="F18" s="198"/>
      <c r="G18" s="166"/>
      <c r="H18" s="879" t="s">
        <v>473</v>
      </c>
      <c r="I18" s="166"/>
      <c r="J18" s="166"/>
      <c r="K18" s="166"/>
      <c r="L18" s="574"/>
      <c r="M18" s="166"/>
      <c r="N18" s="198"/>
      <c r="O18" s="198"/>
      <c r="P18" s="893"/>
      <c r="Q18" s="893"/>
      <c r="R18" s="893"/>
      <c r="S18" s="893"/>
      <c r="T18" s="893"/>
      <c r="U18" s="894"/>
      <c r="V18" s="893"/>
      <c r="W18" s="166"/>
      <c r="X18" s="893"/>
      <c r="Y18" s="198"/>
      <c r="Z18" s="198"/>
      <c r="AA18" s="166"/>
      <c r="AB18" s="893"/>
      <c r="AC18" s="893"/>
      <c r="AD18" s="166"/>
      <c r="AE18" s="166"/>
      <c r="AF18" s="893"/>
      <c r="AG18" s="893"/>
      <c r="AH18" s="893"/>
      <c r="AI18" s="198"/>
      <c r="AJ18" s="893"/>
      <c r="AK18" s="893"/>
      <c r="AL18" s="893"/>
      <c r="AM18" s="893"/>
      <c r="AN18" s="895"/>
      <c r="AP18" s="235"/>
      <c r="AQ18" s="158"/>
      <c r="AR18" s="158" t="s">
        <v>487</v>
      </c>
    </row>
    <row r="19" spans="1:44" x14ac:dyDescent="0.35">
      <c r="A19" s="891">
        <v>8</v>
      </c>
      <c r="B19" s="1175"/>
      <c r="C19" s="1170"/>
      <c r="D19" s="1171" t="s">
        <v>472</v>
      </c>
      <c r="E19" s="1171"/>
      <c r="F19" s="198"/>
      <c r="G19" s="166"/>
      <c r="H19" s="879" t="s">
        <v>473</v>
      </c>
      <c r="I19" s="166"/>
      <c r="J19" s="166"/>
      <c r="K19" s="166"/>
      <c r="L19" s="574"/>
      <c r="M19" s="166"/>
      <c r="N19" s="198"/>
      <c r="O19" s="198"/>
      <c r="P19" s="893"/>
      <c r="Q19" s="893"/>
      <c r="R19" s="893"/>
      <c r="S19" s="893"/>
      <c r="T19" s="893"/>
      <c r="U19" s="894"/>
      <c r="V19" s="893"/>
      <c r="W19" s="166"/>
      <c r="X19" s="893"/>
      <c r="Y19" s="198"/>
      <c r="Z19" s="198"/>
      <c r="AA19" s="166"/>
      <c r="AB19" s="893"/>
      <c r="AC19" s="893"/>
      <c r="AD19" s="166"/>
      <c r="AE19" s="166"/>
      <c r="AF19" s="893"/>
      <c r="AG19" s="893"/>
      <c r="AH19" s="893"/>
      <c r="AI19" s="198"/>
      <c r="AJ19" s="893"/>
      <c r="AK19" s="893"/>
      <c r="AL19" s="893"/>
      <c r="AM19" s="893"/>
      <c r="AN19" s="895"/>
      <c r="AP19" s="235"/>
      <c r="AQ19" s="158"/>
      <c r="AR19" s="158" t="s">
        <v>488</v>
      </c>
    </row>
    <row r="20" spans="1:44" x14ac:dyDescent="0.35">
      <c r="A20" s="891">
        <v>9</v>
      </c>
      <c r="B20" s="1175"/>
      <c r="C20" s="1170"/>
      <c r="D20" s="1171" t="s">
        <v>472</v>
      </c>
      <c r="E20" s="1171"/>
      <c r="F20" s="198"/>
      <c r="G20" s="166"/>
      <c r="H20" s="879" t="s">
        <v>472</v>
      </c>
      <c r="I20" s="166"/>
      <c r="J20" s="166"/>
      <c r="K20" s="166"/>
      <c r="L20" s="574"/>
      <c r="M20" s="166"/>
      <c r="N20" s="198"/>
      <c r="O20" s="198"/>
      <c r="P20" s="893"/>
      <c r="Q20" s="893"/>
      <c r="R20" s="893"/>
      <c r="S20" s="893"/>
      <c r="T20" s="893"/>
      <c r="U20" s="894"/>
      <c r="V20" s="893"/>
      <c r="W20" s="166"/>
      <c r="X20" s="893"/>
      <c r="Y20" s="198"/>
      <c r="Z20" s="198"/>
      <c r="AA20" s="166"/>
      <c r="AB20" s="893"/>
      <c r="AC20" s="893"/>
      <c r="AD20" s="166"/>
      <c r="AE20" s="166"/>
      <c r="AF20" s="893"/>
      <c r="AG20" s="893"/>
      <c r="AH20" s="893"/>
      <c r="AI20" s="198"/>
      <c r="AJ20" s="893"/>
      <c r="AK20" s="893"/>
      <c r="AL20" s="893"/>
      <c r="AM20" s="893"/>
      <c r="AN20" s="895"/>
      <c r="AP20" s="235"/>
      <c r="AQ20" s="158"/>
      <c r="AR20" s="158" t="s">
        <v>489</v>
      </c>
    </row>
    <row r="21" spans="1:44" x14ac:dyDescent="0.35">
      <c r="A21" s="891">
        <v>10</v>
      </c>
      <c r="B21" s="1175"/>
      <c r="C21" s="1170"/>
      <c r="D21" s="1171" t="s">
        <v>472</v>
      </c>
      <c r="E21" s="1171"/>
      <c r="F21" s="198"/>
      <c r="G21" s="166"/>
      <c r="H21" s="879" t="s">
        <v>473</v>
      </c>
      <c r="I21" s="166"/>
      <c r="J21" s="166"/>
      <c r="K21" s="166"/>
      <c r="L21" s="574"/>
      <c r="M21" s="166"/>
      <c r="N21" s="198"/>
      <c r="O21" s="198"/>
      <c r="P21" s="893"/>
      <c r="Q21" s="893"/>
      <c r="R21" s="893"/>
      <c r="S21" s="893"/>
      <c r="T21" s="893"/>
      <c r="U21" s="894"/>
      <c r="V21" s="893"/>
      <c r="W21" s="166"/>
      <c r="X21" s="893"/>
      <c r="Y21" s="198"/>
      <c r="Z21" s="198"/>
      <c r="AA21" s="166"/>
      <c r="AB21" s="893"/>
      <c r="AC21" s="893"/>
      <c r="AD21" s="166"/>
      <c r="AE21" s="166"/>
      <c r="AF21" s="893"/>
      <c r="AG21" s="893"/>
      <c r="AH21" s="893"/>
      <c r="AI21" s="198"/>
      <c r="AJ21" s="893"/>
      <c r="AK21" s="893"/>
      <c r="AL21" s="893"/>
      <c r="AM21" s="893"/>
      <c r="AN21" s="895"/>
      <c r="AP21" s="235"/>
      <c r="AQ21" s="158"/>
      <c r="AR21" s="158" t="s">
        <v>490</v>
      </c>
    </row>
    <row r="22" spans="1:44" x14ac:dyDescent="0.35">
      <c r="A22" s="891">
        <v>11</v>
      </c>
      <c r="B22" s="1175"/>
      <c r="C22" s="1170"/>
      <c r="D22" s="1171" t="s">
        <v>472</v>
      </c>
      <c r="E22" s="1171"/>
      <c r="F22" s="198"/>
      <c r="G22" s="166"/>
      <c r="H22" s="879" t="s">
        <v>473</v>
      </c>
      <c r="I22" s="166"/>
      <c r="J22" s="166"/>
      <c r="K22" s="166"/>
      <c r="L22" s="574"/>
      <c r="M22" s="166"/>
      <c r="N22" s="198"/>
      <c r="O22" s="198"/>
      <c r="P22" s="893"/>
      <c r="Q22" s="893"/>
      <c r="R22" s="893"/>
      <c r="S22" s="893"/>
      <c r="T22" s="893"/>
      <c r="U22" s="894"/>
      <c r="V22" s="893"/>
      <c r="W22" s="166"/>
      <c r="X22" s="893"/>
      <c r="Y22" s="198"/>
      <c r="Z22" s="198"/>
      <c r="AA22" s="166"/>
      <c r="AB22" s="893"/>
      <c r="AC22" s="893"/>
      <c r="AD22" s="166"/>
      <c r="AE22" s="166"/>
      <c r="AF22" s="893"/>
      <c r="AG22" s="893"/>
      <c r="AH22" s="893"/>
      <c r="AI22" s="198"/>
      <c r="AJ22" s="893"/>
      <c r="AK22" s="893"/>
      <c r="AL22" s="893"/>
      <c r="AM22" s="893"/>
      <c r="AN22" s="895"/>
      <c r="AP22" s="235"/>
      <c r="AQ22" s="158"/>
      <c r="AR22" s="158" t="s">
        <v>491</v>
      </c>
    </row>
    <row r="23" spans="1:44" x14ac:dyDescent="0.35">
      <c r="A23" s="891">
        <v>12</v>
      </c>
      <c r="B23" s="1175"/>
      <c r="C23" s="1170"/>
      <c r="D23" s="1171" t="s">
        <v>472</v>
      </c>
      <c r="E23" s="1171"/>
      <c r="F23" s="198"/>
      <c r="G23" s="166"/>
      <c r="H23" s="879" t="s">
        <v>473</v>
      </c>
      <c r="I23" s="166"/>
      <c r="J23" s="166"/>
      <c r="K23" s="166"/>
      <c r="L23" s="574"/>
      <c r="M23" s="166"/>
      <c r="N23" s="198"/>
      <c r="O23" s="198"/>
      <c r="P23" s="893"/>
      <c r="Q23" s="893"/>
      <c r="R23" s="893"/>
      <c r="S23" s="893"/>
      <c r="T23" s="893"/>
      <c r="U23" s="894"/>
      <c r="V23" s="893"/>
      <c r="W23" s="166"/>
      <c r="X23" s="893"/>
      <c r="Y23" s="198"/>
      <c r="Z23" s="198"/>
      <c r="AA23" s="166"/>
      <c r="AB23" s="893"/>
      <c r="AC23" s="893"/>
      <c r="AD23" s="166"/>
      <c r="AE23" s="166"/>
      <c r="AF23" s="893"/>
      <c r="AG23" s="893"/>
      <c r="AH23" s="893"/>
      <c r="AI23" s="198"/>
      <c r="AJ23" s="893"/>
      <c r="AK23" s="893"/>
      <c r="AL23" s="893"/>
      <c r="AM23" s="893"/>
      <c r="AN23" s="895"/>
      <c r="AP23" s="235"/>
      <c r="AQ23" s="158"/>
      <c r="AR23" s="158" t="s">
        <v>492</v>
      </c>
    </row>
    <row r="24" spans="1:44" x14ac:dyDescent="0.35">
      <c r="A24" s="891">
        <v>13</v>
      </c>
      <c r="B24" s="1175"/>
      <c r="C24" s="1170"/>
      <c r="D24" s="1171" t="s">
        <v>472</v>
      </c>
      <c r="E24" s="1171"/>
      <c r="F24" s="198"/>
      <c r="G24" s="166"/>
      <c r="H24" s="879" t="s">
        <v>473</v>
      </c>
      <c r="I24" s="166"/>
      <c r="J24" s="166"/>
      <c r="K24" s="166"/>
      <c r="L24" s="574"/>
      <c r="M24" s="166"/>
      <c r="N24" s="198"/>
      <c r="O24" s="198"/>
      <c r="P24" s="893"/>
      <c r="Q24" s="893"/>
      <c r="R24" s="893"/>
      <c r="S24" s="893"/>
      <c r="T24" s="893"/>
      <c r="U24" s="894"/>
      <c r="V24" s="893"/>
      <c r="W24" s="166"/>
      <c r="X24" s="893"/>
      <c r="Y24" s="198"/>
      <c r="Z24" s="198"/>
      <c r="AA24" s="166"/>
      <c r="AB24" s="893"/>
      <c r="AC24" s="893"/>
      <c r="AD24" s="166"/>
      <c r="AE24" s="166"/>
      <c r="AF24" s="893"/>
      <c r="AG24" s="893"/>
      <c r="AH24" s="893"/>
      <c r="AI24" s="198"/>
      <c r="AJ24" s="893"/>
      <c r="AK24" s="893"/>
      <c r="AL24" s="893"/>
      <c r="AM24" s="893"/>
      <c r="AN24" s="895"/>
      <c r="AP24" s="235"/>
      <c r="AQ24" s="158"/>
      <c r="AR24" s="158" t="s">
        <v>493</v>
      </c>
    </row>
    <row r="25" spans="1:44" x14ac:dyDescent="0.35">
      <c r="A25" s="891">
        <v>14</v>
      </c>
      <c r="B25" s="1175"/>
      <c r="C25" s="1170"/>
      <c r="D25" s="1171" t="s">
        <v>472</v>
      </c>
      <c r="E25" s="1171"/>
      <c r="F25" s="198"/>
      <c r="G25" s="166"/>
      <c r="H25" s="879" t="s">
        <v>473</v>
      </c>
      <c r="I25" s="166"/>
      <c r="J25" s="166"/>
      <c r="K25" s="166"/>
      <c r="L25" s="574"/>
      <c r="M25" s="166"/>
      <c r="N25" s="198"/>
      <c r="O25" s="198"/>
      <c r="P25" s="893"/>
      <c r="Q25" s="893"/>
      <c r="R25" s="893"/>
      <c r="S25" s="893"/>
      <c r="T25" s="893"/>
      <c r="U25" s="894"/>
      <c r="V25" s="893"/>
      <c r="W25" s="166"/>
      <c r="X25" s="893"/>
      <c r="Y25" s="198"/>
      <c r="Z25" s="198"/>
      <c r="AA25" s="166"/>
      <c r="AB25" s="893"/>
      <c r="AC25" s="893"/>
      <c r="AD25" s="166"/>
      <c r="AE25" s="166"/>
      <c r="AF25" s="893"/>
      <c r="AG25" s="893"/>
      <c r="AH25" s="893"/>
      <c r="AI25" s="198"/>
      <c r="AJ25" s="893"/>
      <c r="AK25" s="893"/>
      <c r="AL25" s="893"/>
      <c r="AM25" s="893"/>
      <c r="AN25" s="895"/>
      <c r="AP25" s="235"/>
      <c r="AQ25" s="158"/>
      <c r="AR25" s="158" t="s">
        <v>494</v>
      </c>
    </row>
    <row r="26" spans="1:44" x14ac:dyDescent="0.35">
      <c r="A26" s="891">
        <v>15</v>
      </c>
      <c r="B26" s="1175"/>
      <c r="C26" s="1170"/>
      <c r="D26" s="1171" t="s">
        <v>472</v>
      </c>
      <c r="E26" s="1171"/>
      <c r="F26" s="198"/>
      <c r="G26" s="166"/>
      <c r="H26" s="879" t="s">
        <v>473</v>
      </c>
      <c r="I26" s="166"/>
      <c r="J26" s="166"/>
      <c r="K26" s="166"/>
      <c r="L26" s="574"/>
      <c r="M26" s="166"/>
      <c r="N26" s="198"/>
      <c r="O26" s="198"/>
      <c r="P26" s="893"/>
      <c r="Q26" s="893"/>
      <c r="R26" s="893"/>
      <c r="S26" s="893"/>
      <c r="T26" s="893"/>
      <c r="U26" s="894"/>
      <c r="V26" s="893"/>
      <c r="W26" s="166"/>
      <c r="X26" s="893"/>
      <c r="Y26" s="198"/>
      <c r="Z26" s="198"/>
      <c r="AA26" s="166"/>
      <c r="AB26" s="893"/>
      <c r="AC26" s="893"/>
      <c r="AD26" s="166"/>
      <c r="AE26" s="166"/>
      <c r="AF26" s="893"/>
      <c r="AG26" s="893"/>
      <c r="AH26" s="893"/>
      <c r="AI26" s="198"/>
      <c r="AJ26" s="893"/>
      <c r="AK26" s="893"/>
      <c r="AL26" s="893"/>
      <c r="AM26" s="893"/>
      <c r="AN26" s="895"/>
      <c r="AP26" s="235"/>
      <c r="AQ26" s="158"/>
      <c r="AR26" s="158" t="s">
        <v>495</v>
      </c>
    </row>
    <row r="27" spans="1:44" x14ac:dyDescent="0.35">
      <c r="A27" s="891">
        <v>16</v>
      </c>
      <c r="B27" s="1175"/>
      <c r="C27" s="1170"/>
      <c r="D27" s="1171" t="s">
        <v>472</v>
      </c>
      <c r="E27" s="1171"/>
      <c r="F27" s="198"/>
      <c r="G27" s="166"/>
      <c r="H27" s="879" t="s">
        <v>473</v>
      </c>
      <c r="I27" s="166"/>
      <c r="J27" s="166"/>
      <c r="K27" s="166"/>
      <c r="L27" s="574"/>
      <c r="M27" s="166"/>
      <c r="N27" s="198"/>
      <c r="O27" s="198"/>
      <c r="P27" s="893"/>
      <c r="Q27" s="893"/>
      <c r="R27" s="893"/>
      <c r="S27" s="893"/>
      <c r="T27" s="893"/>
      <c r="U27" s="894"/>
      <c r="V27" s="893"/>
      <c r="W27" s="166"/>
      <c r="X27" s="893"/>
      <c r="Y27" s="198"/>
      <c r="Z27" s="198"/>
      <c r="AA27" s="166"/>
      <c r="AB27" s="893"/>
      <c r="AC27" s="893"/>
      <c r="AD27" s="166"/>
      <c r="AE27" s="166"/>
      <c r="AF27" s="893"/>
      <c r="AG27" s="893"/>
      <c r="AH27" s="893"/>
      <c r="AI27" s="198"/>
      <c r="AJ27" s="893"/>
      <c r="AK27" s="893"/>
      <c r="AL27" s="893"/>
      <c r="AM27" s="893"/>
      <c r="AN27" s="895"/>
      <c r="AP27" s="235"/>
      <c r="AQ27" s="158"/>
      <c r="AR27" s="158" t="s">
        <v>496</v>
      </c>
    </row>
    <row r="28" spans="1:44" x14ac:dyDescent="0.35">
      <c r="A28" s="891">
        <v>17</v>
      </c>
      <c r="B28" s="1175"/>
      <c r="C28" s="1170"/>
      <c r="D28" s="1171" t="s">
        <v>472</v>
      </c>
      <c r="E28" s="1171"/>
      <c r="F28" s="198"/>
      <c r="G28" s="166"/>
      <c r="H28" s="879" t="s">
        <v>473</v>
      </c>
      <c r="I28" s="166"/>
      <c r="J28" s="166"/>
      <c r="K28" s="166"/>
      <c r="L28" s="574"/>
      <c r="M28" s="166"/>
      <c r="N28" s="198"/>
      <c r="O28" s="198"/>
      <c r="P28" s="893"/>
      <c r="Q28" s="893"/>
      <c r="R28" s="893"/>
      <c r="S28" s="893"/>
      <c r="T28" s="893"/>
      <c r="U28" s="894"/>
      <c r="V28" s="893"/>
      <c r="W28" s="166"/>
      <c r="X28" s="893"/>
      <c r="Y28" s="198"/>
      <c r="Z28" s="198"/>
      <c r="AA28" s="166"/>
      <c r="AB28" s="893"/>
      <c r="AC28" s="893"/>
      <c r="AD28" s="166"/>
      <c r="AE28" s="166"/>
      <c r="AF28" s="893"/>
      <c r="AG28" s="893"/>
      <c r="AH28" s="893"/>
      <c r="AI28" s="198"/>
      <c r="AJ28" s="893"/>
      <c r="AK28" s="893"/>
      <c r="AL28" s="893"/>
      <c r="AM28" s="893"/>
      <c r="AN28" s="895"/>
      <c r="AP28" s="235"/>
      <c r="AQ28" s="158"/>
      <c r="AR28" s="158" t="s">
        <v>497</v>
      </c>
    </row>
    <row r="29" spans="1:44" x14ac:dyDescent="0.35">
      <c r="A29" s="891">
        <v>18</v>
      </c>
      <c r="B29" s="1175"/>
      <c r="C29" s="1170"/>
      <c r="D29" s="1171" t="s">
        <v>472</v>
      </c>
      <c r="E29" s="1171"/>
      <c r="F29" s="198"/>
      <c r="G29" s="166"/>
      <c r="H29" s="879" t="s">
        <v>473</v>
      </c>
      <c r="I29" s="166"/>
      <c r="J29" s="166"/>
      <c r="K29" s="166"/>
      <c r="L29" s="574"/>
      <c r="M29" s="166"/>
      <c r="N29" s="198"/>
      <c r="O29" s="198"/>
      <c r="P29" s="893"/>
      <c r="Q29" s="893"/>
      <c r="R29" s="893"/>
      <c r="S29" s="893"/>
      <c r="T29" s="893"/>
      <c r="U29" s="894"/>
      <c r="V29" s="893"/>
      <c r="W29" s="166"/>
      <c r="X29" s="893"/>
      <c r="Y29" s="198"/>
      <c r="Z29" s="198"/>
      <c r="AA29" s="166"/>
      <c r="AB29" s="893"/>
      <c r="AC29" s="893"/>
      <c r="AD29" s="166"/>
      <c r="AE29" s="166"/>
      <c r="AF29" s="893"/>
      <c r="AG29" s="893"/>
      <c r="AH29" s="893"/>
      <c r="AI29" s="198"/>
      <c r="AJ29" s="893"/>
      <c r="AK29" s="893"/>
      <c r="AL29" s="893"/>
      <c r="AM29" s="893"/>
      <c r="AN29" s="895"/>
      <c r="AP29" s="235"/>
      <c r="AQ29" s="158"/>
      <c r="AR29" s="158" t="s">
        <v>498</v>
      </c>
    </row>
    <row r="30" spans="1:44" x14ac:dyDescent="0.35">
      <c r="A30" s="891">
        <v>19</v>
      </c>
      <c r="B30" s="1175"/>
      <c r="C30" s="1170"/>
      <c r="D30" s="1171" t="s">
        <v>472</v>
      </c>
      <c r="E30" s="1171"/>
      <c r="F30" s="198"/>
      <c r="G30" s="166"/>
      <c r="H30" s="879" t="s">
        <v>473</v>
      </c>
      <c r="I30" s="166"/>
      <c r="J30" s="166"/>
      <c r="K30" s="166"/>
      <c r="L30" s="574"/>
      <c r="M30" s="166"/>
      <c r="N30" s="198"/>
      <c r="O30" s="198"/>
      <c r="P30" s="893"/>
      <c r="Q30" s="893"/>
      <c r="R30" s="893"/>
      <c r="S30" s="893"/>
      <c r="T30" s="893"/>
      <c r="U30" s="894"/>
      <c r="V30" s="893"/>
      <c r="W30" s="166"/>
      <c r="X30" s="893"/>
      <c r="Y30" s="198"/>
      <c r="Z30" s="198"/>
      <c r="AA30" s="166"/>
      <c r="AB30" s="893"/>
      <c r="AC30" s="893"/>
      <c r="AD30" s="166"/>
      <c r="AE30" s="166"/>
      <c r="AF30" s="893"/>
      <c r="AG30" s="893"/>
      <c r="AH30" s="893"/>
      <c r="AI30" s="198"/>
      <c r="AJ30" s="893"/>
      <c r="AK30" s="893"/>
      <c r="AL30" s="893"/>
      <c r="AM30" s="893"/>
      <c r="AN30" s="895"/>
      <c r="AP30" s="235"/>
      <c r="AQ30" s="158"/>
      <c r="AR30" s="158" t="s">
        <v>499</v>
      </c>
    </row>
    <row r="31" spans="1:44" x14ac:dyDescent="0.35">
      <c r="A31" s="891">
        <v>20</v>
      </c>
      <c r="B31" s="1175"/>
      <c r="C31" s="1172"/>
      <c r="D31" s="1171" t="s">
        <v>472</v>
      </c>
      <c r="E31" s="1171"/>
      <c r="F31" s="198"/>
      <c r="G31" s="166"/>
      <c r="H31" s="879" t="s">
        <v>473</v>
      </c>
      <c r="I31" s="166"/>
      <c r="J31" s="166"/>
      <c r="K31" s="166"/>
      <c r="L31" s="574"/>
      <c r="M31" s="168"/>
      <c r="N31" s="186"/>
      <c r="O31" s="186"/>
      <c r="P31" s="167"/>
      <c r="Q31" s="167"/>
      <c r="R31" s="167"/>
      <c r="S31" s="167"/>
      <c r="T31" s="167"/>
      <c r="U31" s="533"/>
      <c r="V31" s="167"/>
      <c r="W31" s="168"/>
      <c r="X31" s="167"/>
      <c r="Y31" s="186"/>
      <c r="Z31" s="186"/>
      <c r="AA31" s="168"/>
      <c r="AB31" s="167"/>
      <c r="AC31" s="167"/>
      <c r="AD31" s="168"/>
      <c r="AE31" s="168"/>
      <c r="AF31" s="167"/>
      <c r="AG31" s="167"/>
      <c r="AH31" s="167"/>
      <c r="AI31" s="186"/>
      <c r="AJ31" s="167"/>
      <c r="AK31" s="167"/>
      <c r="AL31" s="167"/>
      <c r="AM31" s="167"/>
      <c r="AN31" s="415"/>
      <c r="AP31" s="235"/>
      <c r="AQ31" s="158"/>
      <c r="AR31" s="158" t="s">
        <v>500</v>
      </c>
    </row>
    <row r="32" spans="1:44" x14ac:dyDescent="0.35">
      <c r="A32" s="891">
        <v>21</v>
      </c>
      <c r="B32" s="1175"/>
      <c r="C32" s="1172"/>
      <c r="D32" s="1171" t="s">
        <v>472</v>
      </c>
      <c r="E32" s="1171"/>
      <c r="F32" s="198"/>
      <c r="G32" s="166"/>
      <c r="H32" s="879" t="s">
        <v>473</v>
      </c>
      <c r="I32" s="166"/>
      <c r="J32" s="166"/>
      <c r="K32" s="166"/>
      <c r="L32" s="574"/>
      <c r="M32" s="168"/>
      <c r="N32" s="186"/>
      <c r="O32" s="186"/>
      <c r="P32" s="167"/>
      <c r="Q32" s="167"/>
      <c r="R32" s="167"/>
      <c r="S32" s="167"/>
      <c r="T32" s="167"/>
      <c r="U32" s="533"/>
      <c r="V32" s="167"/>
      <c r="W32" s="168"/>
      <c r="X32" s="167"/>
      <c r="Y32" s="186"/>
      <c r="Z32" s="186"/>
      <c r="AA32" s="168"/>
      <c r="AB32" s="167"/>
      <c r="AC32" s="167"/>
      <c r="AD32" s="168"/>
      <c r="AE32" s="168"/>
      <c r="AF32" s="167"/>
      <c r="AG32" s="167"/>
      <c r="AH32" s="167"/>
      <c r="AI32" s="186"/>
      <c r="AJ32" s="167"/>
      <c r="AK32" s="167"/>
      <c r="AL32" s="167"/>
      <c r="AM32" s="167"/>
      <c r="AN32" s="415"/>
      <c r="AP32" s="235"/>
      <c r="AQ32" s="158"/>
      <c r="AR32" s="158" t="s">
        <v>501</v>
      </c>
    </row>
    <row r="33" spans="1:44" x14ac:dyDescent="0.35">
      <c r="A33" s="891">
        <v>22</v>
      </c>
      <c r="B33" s="1175"/>
      <c r="C33" s="1172"/>
      <c r="D33" s="1171" t="s">
        <v>472</v>
      </c>
      <c r="E33" s="1171"/>
      <c r="F33" s="198"/>
      <c r="G33" s="166"/>
      <c r="H33" s="879" t="s">
        <v>473</v>
      </c>
      <c r="I33" s="166"/>
      <c r="J33" s="166"/>
      <c r="K33" s="166"/>
      <c r="L33" s="574"/>
      <c r="M33" s="168"/>
      <c r="N33" s="186"/>
      <c r="O33" s="186"/>
      <c r="P33" s="167"/>
      <c r="Q33" s="167"/>
      <c r="R33" s="167"/>
      <c r="S33" s="167"/>
      <c r="T33" s="167"/>
      <c r="U33" s="533"/>
      <c r="V33" s="167"/>
      <c r="W33" s="168"/>
      <c r="X33" s="167"/>
      <c r="Y33" s="186"/>
      <c r="Z33" s="186"/>
      <c r="AA33" s="168"/>
      <c r="AB33" s="167"/>
      <c r="AC33" s="167"/>
      <c r="AD33" s="168"/>
      <c r="AE33" s="168"/>
      <c r="AF33" s="167"/>
      <c r="AG33" s="167"/>
      <c r="AH33" s="167"/>
      <c r="AI33" s="186"/>
      <c r="AJ33" s="167"/>
      <c r="AK33" s="167"/>
      <c r="AL33" s="167"/>
      <c r="AM33" s="167"/>
      <c r="AN33" s="415"/>
      <c r="AP33" s="235"/>
      <c r="AQ33" s="158"/>
      <c r="AR33" s="158" t="s">
        <v>502</v>
      </c>
    </row>
    <row r="34" spans="1:44" x14ac:dyDescent="0.35">
      <c r="A34" s="891">
        <v>23</v>
      </c>
      <c r="B34" s="1175"/>
      <c r="C34" s="1172"/>
      <c r="D34" s="1171" t="s">
        <v>472</v>
      </c>
      <c r="E34" s="1171"/>
      <c r="F34" s="198"/>
      <c r="G34" s="166"/>
      <c r="H34" s="879" t="s">
        <v>473</v>
      </c>
      <c r="I34" s="166"/>
      <c r="J34" s="166"/>
      <c r="K34" s="166"/>
      <c r="L34" s="574"/>
      <c r="M34" s="168"/>
      <c r="N34" s="186"/>
      <c r="O34" s="186"/>
      <c r="P34" s="167"/>
      <c r="Q34" s="167"/>
      <c r="R34" s="167"/>
      <c r="S34" s="167"/>
      <c r="T34" s="167"/>
      <c r="U34" s="533"/>
      <c r="V34" s="167"/>
      <c r="W34" s="168"/>
      <c r="X34" s="167"/>
      <c r="Y34" s="186"/>
      <c r="Z34" s="186"/>
      <c r="AA34" s="168"/>
      <c r="AB34" s="167"/>
      <c r="AC34" s="167"/>
      <c r="AD34" s="168"/>
      <c r="AE34" s="168"/>
      <c r="AF34" s="167"/>
      <c r="AG34" s="167"/>
      <c r="AH34" s="167"/>
      <c r="AI34" s="186"/>
      <c r="AJ34" s="167"/>
      <c r="AK34" s="167"/>
      <c r="AL34" s="167"/>
      <c r="AM34" s="167"/>
      <c r="AN34" s="415"/>
      <c r="AP34" s="235"/>
      <c r="AQ34" s="158"/>
      <c r="AR34" s="158" t="s">
        <v>503</v>
      </c>
    </row>
    <row r="35" spans="1:44" x14ac:dyDescent="0.35">
      <c r="A35" s="891">
        <v>24</v>
      </c>
      <c r="B35" s="1175"/>
      <c r="C35" s="1172"/>
      <c r="D35" s="1171" t="s">
        <v>472</v>
      </c>
      <c r="E35" s="1171"/>
      <c r="F35" s="198"/>
      <c r="G35" s="166"/>
      <c r="H35" s="879" t="s">
        <v>473</v>
      </c>
      <c r="I35" s="166"/>
      <c r="J35" s="166"/>
      <c r="K35" s="166"/>
      <c r="L35" s="574"/>
      <c r="M35" s="168"/>
      <c r="N35" s="186"/>
      <c r="O35" s="186"/>
      <c r="P35" s="167"/>
      <c r="Q35" s="167"/>
      <c r="R35" s="167"/>
      <c r="S35" s="167"/>
      <c r="T35" s="167"/>
      <c r="U35" s="533"/>
      <c r="V35" s="167"/>
      <c r="W35" s="168"/>
      <c r="X35" s="167"/>
      <c r="Y35" s="186"/>
      <c r="Z35" s="186"/>
      <c r="AA35" s="168"/>
      <c r="AB35" s="167"/>
      <c r="AC35" s="167"/>
      <c r="AD35" s="168"/>
      <c r="AE35" s="168"/>
      <c r="AF35" s="167"/>
      <c r="AG35" s="167"/>
      <c r="AH35" s="167"/>
      <c r="AI35" s="186"/>
      <c r="AJ35" s="167"/>
      <c r="AK35" s="167"/>
      <c r="AL35" s="167"/>
      <c r="AM35" s="167"/>
      <c r="AN35" s="415"/>
      <c r="AP35" s="235"/>
      <c r="AQ35" s="158"/>
      <c r="AR35" s="158" t="s">
        <v>504</v>
      </c>
    </row>
    <row r="36" spans="1:44" x14ac:dyDescent="0.35">
      <c r="A36" s="891">
        <v>25</v>
      </c>
      <c r="B36" s="1175"/>
      <c r="C36" s="1172"/>
      <c r="D36" s="1171" t="s">
        <v>472</v>
      </c>
      <c r="E36" s="1171"/>
      <c r="F36" s="198"/>
      <c r="G36" s="166"/>
      <c r="H36" s="879" t="s">
        <v>473</v>
      </c>
      <c r="I36" s="166"/>
      <c r="J36" s="166"/>
      <c r="K36" s="166"/>
      <c r="L36" s="574"/>
      <c r="M36" s="168"/>
      <c r="N36" s="186"/>
      <c r="O36" s="186"/>
      <c r="P36" s="167"/>
      <c r="Q36" s="167"/>
      <c r="R36" s="167"/>
      <c r="S36" s="167"/>
      <c r="T36" s="167"/>
      <c r="U36" s="533"/>
      <c r="V36" s="167"/>
      <c r="W36" s="168"/>
      <c r="X36" s="167"/>
      <c r="Y36" s="186"/>
      <c r="Z36" s="186"/>
      <c r="AA36" s="168"/>
      <c r="AB36" s="167"/>
      <c r="AC36" s="167"/>
      <c r="AD36" s="168"/>
      <c r="AE36" s="168"/>
      <c r="AF36" s="167"/>
      <c r="AG36" s="167"/>
      <c r="AH36" s="167"/>
      <c r="AI36" s="186"/>
      <c r="AJ36" s="167"/>
      <c r="AK36" s="167"/>
      <c r="AL36" s="167"/>
      <c r="AM36" s="167"/>
      <c r="AN36" s="415"/>
      <c r="AP36" s="235"/>
      <c r="AQ36" s="158"/>
      <c r="AR36" s="158" t="s">
        <v>505</v>
      </c>
    </row>
    <row r="37" spans="1:44" x14ac:dyDescent="0.35">
      <c r="A37" s="891">
        <v>26</v>
      </c>
      <c r="B37" s="1175"/>
      <c r="C37" s="1172"/>
      <c r="D37" s="1171" t="s">
        <v>472</v>
      </c>
      <c r="E37" s="1171"/>
      <c r="F37" s="198"/>
      <c r="G37" s="166"/>
      <c r="H37" s="879" t="s">
        <v>473</v>
      </c>
      <c r="I37" s="166"/>
      <c r="J37" s="166"/>
      <c r="K37" s="166"/>
      <c r="L37" s="574"/>
      <c r="M37" s="168"/>
      <c r="N37" s="186"/>
      <c r="O37" s="186"/>
      <c r="P37" s="167"/>
      <c r="Q37" s="167"/>
      <c r="R37" s="167"/>
      <c r="S37" s="167"/>
      <c r="T37" s="167"/>
      <c r="U37" s="533"/>
      <c r="V37" s="167"/>
      <c r="W37" s="168"/>
      <c r="X37" s="167"/>
      <c r="Y37" s="186"/>
      <c r="Z37" s="186"/>
      <c r="AA37" s="168"/>
      <c r="AB37" s="167"/>
      <c r="AC37" s="167"/>
      <c r="AD37" s="168"/>
      <c r="AE37" s="168"/>
      <c r="AF37" s="167"/>
      <c r="AG37" s="167"/>
      <c r="AH37" s="167"/>
      <c r="AI37" s="186"/>
      <c r="AJ37" s="167"/>
      <c r="AK37" s="167"/>
      <c r="AL37" s="167"/>
      <c r="AM37" s="167"/>
      <c r="AN37" s="415"/>
      <c r="AP37" s="235"/>
      <c r="AQ37" s="158"/>
      <c r="AR37" s="158" t="s">
        <v>506</v>
      </c>
    </row>
    <row r="38" spans="1:44" ht="15" thickBot="1" x14ac:dyDescent="0.4">
      <c r="A38" s="891">
        <v>27</v>
      </c>
      <c r="B38" s="1175"/>
      <c r="C38" s="1172"/>
      <c r="D38" s="1171" t="s">
        <v>472</v>
      </c>
      <c r="E38" s="1171"/>
      <c r="F38" s="198"/>
      <c r="G38" s="166"/>
      <c r="H38" s="879" t="s">
        <v>473</v>
      </c>
      <c r="I38" s="166"/>
      <c r="J38" s="166"/>
      <c r="K38" s="166"/>
      <c r="L38" s="574"/>
      <c r="M38" s="168"/>
      <c r="N38" s="186"/>
      <c r="O38" s="186"/>
      <c r="P38" s="167"/>
      <c r="Q38" s="167"/>
      <c r="R38" s="167"/>
      <c r="S38" s="167"/>
      <c r="T38" s="167"/>
      <c r="U38" s="533"/>
      <c r="V38" s="167"/>
      <c r="W38" s="168"/>
      <c r="X38" s="167"/>
      <c r="Y38" s="186"/>
      <c r="Z38" s="186"/>
      <c r="AA38" s="168"/>
      <c r="AB38" s="167"/>
      <c r="AC38" s="167"/>
      <c r="AD38" s="168"/>
      <c r="AE38" s="168"/>
      <c r="AF38" s="167"/>
      <c r="AG38" s="167"/>
      <c r="AH38" s="167"/>
      <c r="AI38" s="186"/>
      <c r="AJ38" s="167"/>
      <c r="AK38" s="167"/>
      <c r="AL38" s="167"/>
      <c r="AM38" s="167"/>
      <c r="AN38" s="415"/>
      <c r="AP38" s="256"/>
      <c r="AQ38" s="250"/>
      <c r="AR38" s="250" t="s">
        <v>507</v>
      </c>
    </row>
    <row r="39" spans="1:44" x14ac:dyDescent="0.35">
      <c r="A39" s="891">
        <v>28</v>
      </c>
      <c r="B39" s="1175"/>
      <c r="C39" s="1172"/>
      <c r="D39" s="1171" t="s">
        <v>472</v>
      </c>
      <c r="E39" s="1171"/>
      <c r="F39" s="198"/>
      <c r="G39" s="166"/>
      <c r="H39" s="879" t="s">
        <v>473</v>
      </c>
      <c r="I39" s="166"/>
      <c r="J39" s="166"/>
      <c r="K39" s="166"/>
      <c r="L39" s="574"/>
      <c r="M39" s="168"/>
      <c r="N39" s="186"/>
      <c r="O39" s="186"/>
      <c r="P39" s="167"/>
      <c r="Q39" s="167"/>
      <c r="R39" s="167"/>
      <c r="S39" s="167"/>
      <c r="T39" s="167"/>
      <c r="U39" s="533"/>
      <c r="V39" s="167"/>
      <c r="W39" s="168"/>
      <c r="X39" s="167"/>
      <c r="Y39" s="186"/>
      <c r="Z39" s="186"/>
      <c r="AA39" s="168"/>
      <c r="AB39" s="167"/>
      <c r="AC39" s="167"/>
      <c r="AD39" s="168"/>
      <c r="AE39" s="168"/>
      <c r="AF39" s="167"/>
      <c r="AG39" s="167"/>
      <c r="AH39" s="167"/>
      <c r="AI39" s="186"/>
      <c r="AJ39" s="167"/>
      <c r="AK39" s="167"/>
      <c r="AL39" s="167"/>
      <c r="AM39" s="167"/>
      <c r="AN39" s="415"/>
    </row>
    <row r="40" spans="1:44" x14ac:dyDescent="0.35">
      <c r="A40" s="891">
        <v>29</v>
      </c>
      <c r="B40" s="1175"/>
      <c r="C40" s="1172"/>
      <c r="D40" s="1171" t="s">
        <v>472</v>
      </c>
      <c r="E40" s="1171"/>
      <c r="F40" s="198"/>
      <c r="G40" s="166"/>
      <c r="H40" s="879" t="s">
        <v>473</v>
      </c>
      <c r="I40" s="166"/>
      <c r="J40" s="166"/>
      <c r="K40" s="166"/>
      <c r="L40" s="574"/>
      <c r="M40" s="168"/>
      <c r="N40" s="186"/>
      <c r="O40" s="186"/>
      <c r="P40" s="167"/>
      <c r="Q40" s="167"/>
      <c r="R40" s="167"/>
      <c r="S40" s="167"/>
      <c r="T40" s="167"/>
      <c r="U40" s="533"/>
      <c r="V40" s="167"/>
      <c r="W40" s="168"/>
      <c r="X40" s="167"/>
      <c r="Y40" s="186"/>
      <c r="Z40" s="186"/>
      <c r="AA40" s="168"/>
      <c r="AB40" s="167"/>
      <c r="AC40" s="167"/>
      <c r="AD40" s="168"/>
      <c r="AE40" s="168"/>
      <c r="AF40" s="167"/>
      <c r="AG40" s="167"/>
      <c r="AH40" s="167"/>
      <c r="AI40" s="186"/>
      <c r="AJ40" s="167"/>
      <c r="AK40" s="167"/>
      <c r="AL40" s="167"/>
      <c r="AM40" s="167"/>
      <c r="AN40" s="415"/>
    </row>
    <row r="41" spans="1:44" ht="15" thickBot="1" x14ac:dyDescent="0.4">
      <c r="A41" s="913">
        <v>30</v>
      </c>
      <c r="B41" s="1212"/>
      <c r="C41" s="1173"/>
      <c r="D41" s="1171" t="s">
        <v>472</v>
      </c>
      <c r="E41" s="1268"/>
      <c r="F41" s="188"/>
      <c r="G41" s="187"/>
      <c r="H41" s="880" t="s">
        <v>472</v>
      </c>
      <c r="I41" s="187"/>
      <c r="J41" s="187"/>
      <c r="K41" s="187"/>
      <c r="L41" s="1269"/>
      <c r="M41" s="187"/>
      <c r="N41" s="188"/>
      <c r="O41" s="188"/>
      <c r="P41" s="314"/>
      <c r="Q41" s="314"/>
      <c r="R41" s="314"/>
      <c r="S41" s="314"/>
      <c r="T41" s="314"/>
      <c r="U41" s="534"/>
      <c r="V41" s="314"/>
      <c r="W41" s="187"/>
      <c r="X41" s="314"/>
      <c r="Y41" s="188"/>
      <c r="Z41" s="188"/>
      <c r="AA41" s="187"/>
      <c r="AB41" s="314"/>
      <c r="AC41" s="314"/>
      <c r="AD41" s="187"/>
      <c r="AE41" s="187"/>
      <c r="AF41" s="314"/>
      <c r="AG41" s="314"/>
      <c r="AH41" s="314"/>
      <c r="AI41" s="188"/>
      <c r="AJ41" s="314"/>
      <c r="AK41" s="314"/>
      <c r="AL41" s="314"/>
      <c r="AM41" s="314"/>
      <c r="AN41" s="416"/>
    </row>
  </sheetData>
  <sheetProtection algorithmName="SHA-512" hashValue="oJCAcaLqm8k+yHrmPqgktkRp4v9MgsPyqkzqsotnBSU07QS50PiRLjFpbKat0iN685lGNIBtypGUS6NmRvC9Nw==" saltValue="rgLOdW4Ci1SRbUDjow9PBw==" spinCount="100000" sheet="1" objects="1" scenarios="1"/>
  <protectedRanges>
    <protectedRange sqref="B12:C41 E12:G41 I12:AN41" name="Editable Area 1"/>
    <protectedRange sqref="J2:M4" name="Editable Area 2"/>
  </protectedRanges>
  <dataConsolidate/>
  <mergeCells count="8">
    <mergeCell ref="A1:B1"/>
    <mergeCell ref="BT5:BX5"/>
    <mergeCell ref="AP12:AR12"/>
    <mergeCell ref="A2:C2"/>
    <mergeCell ref="A3:C3"/>
    <mergeCell ref="A4:C4"/>
    <mergeCell ref="I2:I4"/>
    <mergeCell ref="J2:O4"/>
  </mergeCells>
  <phoneticPr fontId="10" type="noConversion"/>
  <dataValidations count="6">
    <dataValidation type="whole" operator="greaterThan" showInputMessage="1" showErrorMessage="1" sqref="G12:G41" xr:uid="{6A30E31A-7722-4637-84FA-A1301EA70EF9}">
      <formula1>0</formula1>
    </dataValidation>
    <dataValidation type="list" allowBlank="1" showInputMessage="1" showErrorMessage="1" sqref="AJ12:AN41 AB12:AH41 V12:X41 P12:T41 E12:E41" xr:uid="{842F6296-5D98-46CD-B785-8334A0438FAA}">
      <formula1>$AQ$14:$AQ$15</formula1>
    </dataValidation>
    <dataValidation type="list" allowBlank="1" showInputMessage="1" showErrorMessage="1" sqref="J12:J41" xr:uid="{F2BC61A7-EDEF-4D9D-B235-28CCEE216B51}">
      <formula1>$AP$14:$AP$17</formula1>
    </dataValidation>
    <dataValidation type="list" allowBlank="1" showInputMessage="1" showErrorMessage="1" sqref="H12:H41 D12:D41" xr:uid="{4F8871EB-38F6-414A-8036-369DF7D7FEDB}">
      <formula1>$AQ$14:$AQ$16</formula1>
    </dataValidation>
    <dataValidation type="list" allowBlank="1" showInputMessage="1" showErrorMessage="1" sqref="N12:N41" xr:uid="{6F3F8318-D5E6-440C-B59C-007ED2FE833B}">
      <formula1>$AR$14:$AR$38</formula1>
    </dataValidation>
    <dataValidation type="decimal" allowBlank="1" showInputMessage="1" showErrorMessage="1" errorTitle="Number only" error="Enter a number only" sqref="L12:L41" xr:uid="{6887D14A-5C8E-4600-8974-9A4676BBF9FA}">
      <formula1>0</formula1>
      <formula2>1000000000</formula2>
    </dataValidation>
  </dataValidations>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F2711-80C3-4B1F-AACD-EAC6895E3138}">
  <sheetPr codeName="Sheet6">
    <tabColor rgb="FF00B050"/>
  </sheetPr>
  <dimension ref="A1:AG258"/>
  <sheetViews>
    <sheetView topLeftCell="A228" zoomScale="87" zoomScaleNormal="85" workbookViewId="0">
      <selection activeCell="E229" sqref="E229"/>
    </sheetView>
  </sheetViews>
  <sheetFormatPr defaultColWidth="8.81640625" defaultRowHeight="14.5" x14ac:dyDescent="0.35"/>
  <cols>
    <col min="1" max="1" width="26" style="4" customWidth="1"/>
    <col min="2" max="2" width="38.81640625" style="4" customWidth="1"/>
    <col min="3" max="3" width="41.81640625" style="4" customWidth="1"/>
    <col min="4" max="4" width="22.7265625" customWidth="1"/>
    <col min="5" max="5" width="20.1796875" customWidth="1"/>
    <col min="6" max="6" width="32.1796875" customWidth="1"/>
    <col min="7" max="7" width="32.1796875" style="658" customWidth="1"/>
    <col min="8" max="8" width="19.453125" customWidth="1"/>
    <col min="9" max="9" width="24.81640625" bestFit="1" customWidth="1"/>
    <col min="10" max="10" width="16.81640625" style="4" bestFit="1" customWidth="1"/>
    <col min="11" max="11" width="32.54296875" customWidth="1"/>
    <col min="12" max="12" width="34.81640625" hidden="1" customWidth="1"/>
    <col min="13" max="13" width="2.81640625" hidden="1" customWidth="1"/>
    <col min="14" max="14" width="20.7265625" customWidth="1"/>
    <col min="15" max="15" width="25" style="668" customWidth="1"/>
    <col min="16" max="16" width="27.453125" style="4" customWidth="1"/>
    <col min="17" max="17" width="27" style="4" bestFit="1" customWidth="1"/>
    <col min="18" max="18" width="26.26953125" style="567" customWidth="1"/>
    <col min="19" max="19" width="35.7265625" style="320" customWidth="1"/>
    <col min="20" max="20" width="35.81640625" style="320" customWidth="1"/>
    <col min="21" max="23" width="19.54296875" style="706" bestFit="1" customWidth="1"/>
    <col min="24" max="24" width="15.1796875" customWidth="1"/>
    <col min="25" max="25" width="22" hidden="1" customWidth="1"/>
    <col min="26" max="26" width="32.1796875" hidden="1" customWidth="1"/>
    <col min="27" max="27" width="31" hidden="1" customWidth="1"/>
    <col min="28" max="28" width="33.453125" hidden="1" customWidth="1"/>
    <col min="29" max="29" width="40.26953125" hidden="1" customWidth="1"/>
    <col min="30" max="30" width="29.453125" hidden="1" customWidth="1"/>
    <col min="31" max="31" width="19.26953125" hidden="1" customWidth="1"/>
  </cols>
  <sheetData>
    <row r="1" spans="1:31" ht="30.75" customHeight="1" thickBot="1" x14ac:dyDescent="0.4">
      <c r="A1" s="1790" t="s">
        <v>415</v>
      </c>
      <c r="B1" s="1791"/>
    </row>
    <row r="2" spans="1:31" ht="21" customHeight="1" x14ac:dyDescent="0.35">
      <c r="A2" s="1815" t="s">
        <v>508</v>
      </c>
      <c r="B2" s="1816"/>
      <c r="C2" s="1816"/>
      <c r="D2" s="1816"/>
      <c r="E2" s="1816"/>
      <c r="F2" s="1817"/>
      <c r="H2" s="1765" t="s">
        <v>309</v>
      </c>
      <c r="I2" s="1768" t="s">
        <v>509</v>
      </c>
      <c r="J2" s="1769"/>
      <c r="K2" s="1769"/>
      <c r="L2" s="1769"/>
      <c r="M2" s="1769"/>
      <c r="N2" s="1769"/>
      <c r="O2" s="1769"/>
      <c r="P2" s="1770"/>
      <c r="Q2" s="801"/>
    </row>
    <row r="3" spans="1:31" ht="54" customHeight="1" x14ac:dyDescent="0.35">
      <c r="A3" s="1818" t="s">
        <v>510</v>
      </c>
      <c r="B3" s="1819"/>
      <c r="C3" s="1819"/>
      <c r="D3" s="1819"/>
      <c r="E3" s="1819"/>
      <c r="F3" s="1820"/>
      <c r="H3" s="1766"/>
      <c r="I3" s="1771"/>
      <c r="J3" s="1772"/>
      <c r="K3" s="1772"/>
      <c r="L3" s="1772"/>
      <c r="M3" s="1772"/>
      <c r="N3" s="1772"/>
      <c r="O3" s="1772"/>
      <c r="P3" s="1773"/>
      <c r="Q3" s="801"/>
    </row>
    <row r="4" spans="1:31" ht="54" customHeight="1" thickBot="1" x14ac:dyDescent="0.4">
      <c r="A4" s="1821" t="s">
        <v>511</v>
      </c>
      <c r="B4" s="1822"/>
      <c r="C4" s="1822"/>
      <c r="D4" s="1822"/>
      <c r="E4" s="1822"/>
      <c r="F4" s="1823"/>
      <c r="H4" s="1767"/>
      <c r="I4" s="1774"/>
      <c r="J4" s="1775"/>
      <c r="K4" s="1775"/>
      <c r="L4" s="1775"/>
      <c r="M4" s="1775"/>
      <c r="N4" s="1775"/>
      <c r="O4" s="1775"/>
      <c r="P4" s="1776"/>
      <c r="Q4" s="801"/>
      <c r="R4" s="670"/>
    </row>
    <row r="5" spans="1:31" ht="15" thickBot="1" x14ac:dyDescent="0.4">
      <c r="H5" s="1"/>
      <c r="I5" s="1"/>
    </row>
    <row r="6" spans="1:31" ht="37.5" customHeight="1" x14ac:dyDescent="0.35">
      <c r="A6" s="594" t="s">
        <v>211</v>
      </c>
      <c r="B6" s="1323">
        <f>(SUMIF(P16:P258,"Scope 1", O16:O258)/1000)</f>
        <v>1.1031040000000001</v>
      </c>
      <c r="C6" s="461" t="s">
        <v>316</v>
      </c>
      <c r="D6" s="1688" t="s">
        <v>512</v>
      </c>
      <c r="E6" s="1689"/>
      <c r="F6" s="1690"/>
      <c r="G6" s="659"/>
      <c r="H6" s="1706"/>
      <c r="I6" s="1831" t="s">
        <v>513</v>
      </c>
      <c r="J6" s="1834" t="s">
        <v>514</v>
      </c>
      <c r="K6" s="1709" t="s">
        <v>515</v>
      </c>
      <c r="L6" s="1710"/>
      <c r="M6" s="1710"/>
      <c r="N6" s="1710"/>
      <c r="O6" s="1710"/>
      <c r="P6" s="1711"/>
    </row>
    <row r="7" spans="1:31" ht="32.25" customHeight="1" x14ac:dyDescent="0.35">
      <c r="A7" s="595" t="s">
        <v>212</v>
      </c>
      <c r="B7" s="1324">
        <f>(SUMIF(P16:P258, "Scope 2",O16:O258)/1000)+(SUMIF(Q16:Q258, "Scope 2",O16:O258)/1000)</f>
        <v>0</v>
      </c>
      <c r="C7" s="473" t="s">
        <v>316</v>
      </c>
      <c r="D7" s="1825"/>
      <c r="E7" s="1826"/>
      <c r="F7" s="1827"/>
      <c r="G7" s="659"/>
      <c r="H7" s="1707"/>
      <c r="I7" s="1832"/>
      <c r="J7" s="1835"/>
      <c r="K7" s="1712"/>
      <c r="L7" s="1713"/>
      <c r="M7" s="1713"/>
      <c r="N7" s="1713"/>
      <c r="O7" s="1713"/>
      <c r="P7" s="1714"/>
    </row>
    <row r="8" spans="1:31" ht="39" customHeight="1" thickBot="1" x14ac:dyDescent="0.4">
      <c r="A8" s="596" t="s">
        <v>206</v>
      </c>
      <c r="B8" s="1328">
        <f>(SUMIF(P16:P258, "Scope 3",O16:O258)/1000)+(SUMIF(Q16:Q258, "Scope 3",O16:O258)/1000)</f>
        <v>0</v>
      </c>
      <c r="C8" s="462" t="s">
        <v>316</v>
      </c>
      <c r="D8" s="1691"/>
      <c r="E8" s="1692"/>
      <c r="F8" s="1693"/>
      <c r="G8" s="659"/>
      <c r="H8" s="1708"/>
      <c r="I8" s="1833"/>
      <c r="J8" s="1836"/>
      <c r="K8" s="1715"/>
      <c r="L8" s="1716"/>
      <c r="M8" s="1716"/>
      <c r="N8" s="1716"/>
      <c r="O8" s="1716"/>
      <c r="P8" s="1717"/>
    </row>
    <row r="9" spans="1:31" ht="78" customHeight="1" thickBot="1" x14ac:dyDescent="0.4">
      <c r="A9" s="465" t="s">
        <v>516</v>
      </c>
      <c r="B9" s="444">
        <f>IFERROR((SUM(G16:G46,G49:G78,G81:G110,G113:G142,G145:G174,G177:G226,G229:G258))/(SUM(E16:E46,E49:E78,E81:E110,E113:E142,E145:E174,E177:E226,E229:E258)*3),"")</f>
        <v>0.54736842105263162</v>
      </c>
      <c r="C9" s="468" t="s">
        <v>517</v>
      </c>
      <c r="D9" s="1828" t="s">
        <v>518</v>
      </c>
      <c r="E9" s="1829"/>
      <c r="F9" s="1830"/>
      <c r="G9" s="660"/>
      <c r="H9" s="1"/>
      <c r="I9" s="1"/>
      <c r="J9" s="735"/>
      <c r="U9" s="1440"/>
      <c r="V9" s="1440"/>
      <c r="W9" s="1440"/>
    </row>
    <row r="10" spans="1:31" ht="15" thickBot="1" x14ac:dyDescent="0.4">
      <c r="H10" s="1"/>
      <c r="I10" s="1"/>
    </row>
    <row r="11" spans="1:31" ht="15" thickBot="1" x14ac:dyDescent="0.4">
      <c r="A11" s="923" t="s">
        <v>519</v>
      </c>
      <c r="B11" s="807"/>
      <c r="C11" s="807"/>
      <c r="D11" s="6"/>
      <c r="E11" s="6"/>
      <c r="F11" s="6"/>
      <c r="H11" s="1"/>
      <c r="I11" s="1"/>
      <c r="U11" s="1441" t="s">
        <v>520</v>
      </c>
      <c r="V11" s="1442" t="s">
        <v>521</v>
      </c>
      <c r="W11" s="1443" t="s">
        <v>522</v>
      </c>
    </row>
    <row r="12" spans="1:31" ht="29.5" thickBot="1" x14ac:dyDescent="0.4">
      <c r="A12" s="921" t="s">
        <v>523</v>
      </c>
      <c r="B12" s="922" t="s">
        <v>524</v>
      </c>
      <c r="C12" s="922" t="s">
        <v>525</v>
      </c>
      <c r="D12" s="922" t="s">
        <v>526</v>
      </c>
      <c r="E12" s="922" t="s">
        <v>527</v>
      </c>
      <c r="F12" s="1255" t="s">
        <v>528</v>
      </c>
      <c r="G12" s="1255" t="s">
        <v>529</v>
      </c>
      <c r="H12" s="1"/>
      <c r="I12" s="1"/>
      <c r="U12" s="1444">
        <f>SUM(U49:U78,U81:U110,U113:U142,U145:U174,U177:U226)</f>
        <v>1089.6679999999999</v>
      </c>
      <c r="V12" s="1445">
        <f>SUM(V49:V78,V81:V110,V113:V142,V145:V174,V177:V226)</f>
        <v>1.1280000000000001</v>
      </c>
      <c r="W12" s="1446">
        <f>SUM(W49:W78,W81:W110,W113:W142,W145:W174,W177:W226)</f>
        <v>12.308</v>
      </c>
    </row>
    <row r="13" spans="1:31" ht="15" thickBot="1" x14ac:dyDescent="0.4">
      <c r="H13" s="1"/>
      <c r="I13" s="1"/>
      <c r="Y13" s="1804" t="s">
        <v>325</v>
      </c>
      <c r="Z13" s="1805"/>
      <c r="AA13" s="1805"/>
      <c r="AB13" s="1805"/>
      <c r="AC13" s="1805"/>
      <c r="AD13" s="1805"/>
      <c r="AE13" s="1806"/>
    </row>
    <row r="14" spans="1:31" ht="50.25" customHeight="1" thickBot="1" x14ac:dyDescent="0.5">
      <c r="A14" s="821" t="s">
        <v>530</v>
      </c>
      <c r="B14" s="827" t="s">
        <v>531</v>
      </c>
      <c r="C14" s="475" t="s">
        <v>532</v>
      </c>
      <c r="D14" s="172" t="s">
        <v>533</v>
      </c>
      <c r="E14" s="172" t="s">
        <v>534</v>
      </c>
      <c r="F14" s="172" t="s">
        <v>535</v>
      </c>
      <c r="G14" s="661" t="s">
        <v>536</v>
      </c>
      <c r="H14" s="172" t="s">
        <v>537</v>
      </c>
      <c r="I14" s="172" t="s">
        <v>142</v>
      </c>
      <c r="J14" s="172" t="s">
        <v>538</v>
      </c>
      <c r="K14" s="247" t="s">
        <v>539</v>
      </c>
      <c r="L14" s="171" t="s">
        <v>540</v>
      </c>
      <c r="M14" s="247" t="s">
        <v>541</v>
      </c>
      <c r="N14" s="233" t="s">
        <v>542</v>
      </c>
      <c r="O14" s="669" t="s">
        <v>543</v>
      </c>
      <c r="P14" s="171" t="s">
        <v>544</v>
      </c>
      <c r="Q14" s="171" t="s">
        <v>545</v>
      </c>
      <c r="R14" s="1321" t="s">
        <v>546</v>
      </c>
      <c r="S14" s="1300" t="s">
        <v>547</v>
      </c>
      <c r="T14" s="1306"/>
      <c r="U14" s="1447" t="s">
        <v>178</v>
      </c>
      <c r="V14" s="1448" t="s">
        <v>179</v>
      </c>
      <c r="W14" s="1449" t="s">
        <v>180</v>
      </c>
      <c r="Y14" s="841" t="s">
        <v>533</v>
      </c>
      <c r="Z14" s="842" t="s">
        <v>548</v>
      </c>
      <c r="AA14" s="842" t="s">
        <v>549</v>
      </c>
      <c r="AB14" s="843" t="s">
        <v>550</v>
      </c>
      <c r="AC14" s="844" t="s">
        <v>551</v>
      </c>
      <c r="AD14" s="845" t="s">
        <v>175</v>
      </c>
      <c r="AE14" s="846" t="s">
        <v>552</v>
      </c>
    </row>
    <row r="15" spans="1:31" ht="45.75" customHeight="1" thickBot="1" x14ac:dyDescent="0.4">
      <c r="A15" s="1807" t="s">
        <v>553</v>
      </c>
      <c r="B15" s="828" t="s">
        <v>554</v>
      </c>
      <c r="C15" s="477" t="s">
        <v>555</v>
      </c>
      <c r="D15" s="191" t="s">
        <v>555</v>
      </c>
      <c r="E15" s="192" t="s">
        <v>467</v>
      </c>
      <c r="F15" s="191" t="s">
        <v>329</v>
      </c>
      <c r="G15" s="662"/>
      <c r="H15" s="192" t="s">
        <v>467</v>
      </c>
      <c r="I15" s="191" t="s">
        <v>329</v>
      </c>
      <c r="J15" s="191" t="s">
        <v>556</v>
      </c>
      <c r="K15" s="474" t="s">
        <v>557</v>
      </c>
      <c r="L15" s="191" t="s">
        <v>558</v>
      </c>
      <c r="M15" s="474" t="s">
        <v>558</v>
      </c>
      <c r="N15" s="1176" t="s">
        <v>559</v>
      </c>
      <c r="O15" s="662" t="s">
        <v>560</v>
      </c>
      <c r="P15" s="191" t="s">
        <v>561</v>
      </c>
      <c r="Q15" s="1238" t="s">
        <v>562</v>
      </c>
      <c r="R15" s="1322" t="s">
        <v>556</v>
      </c>
      <c r="S15" s="1301"/>
      <c r="T15" s="1305"/>
      <c r="U15" s="1450" t="s">
        <v>202</v>
      </c>
      <c r="V15" s="1451" t="s">
        <v>202</v>
      </c>
      <c r="W15" s="1452" t="s">
        <v>202</v>
      </c>
      <c r="Y15" s="549" t="s">
        <v>563</v>
      </c>
      <c r="Z15" s="255" t="s">
        <v>564</v>
      </c>
      <c r="AA15" s="255" t="s">
        <v>565</v>
      </c>
      <c r="AB15" s="255" t="s">
        <v>566</v>
      </c>
      <c r="AC15" s="255" t="s">
        <v>567</v>
      </c>
      <c r="AD15" s="255" t="s">
        <v>188</v>
      </c>
      <c r="AE15" s="956" t="s">
        <v>568</v>
      </c>
    </row>
    <row r="16" spans="1:31" ht="29" x14ac:dyDescent="0.35">
      <c r="A16" s="1808"/>
      <c r="B16" s="824" t="s">
        <v>2593</v>
      </c>
      <c r="C16" s="478" t="str">
        <f>Energy!$B$14&amp;"|"&amp;'Cover Sheet'!$B$15</f>
        <v>Electricity Supplied to:|</v>
      </c>
      <c r="D16" s="163" t="s">
        <v>563</v>
      </c>
      <c r="E16" s="574">
        <v>500</v>
      </c>
      <c r="F16" s="198" t="s">
        <v>567</v>
      </c>
      <c r="G16" s="663" cm="1">
        <f t="array" ref="G16">IFERROR((((_xlfn.IFS(F16=$AC$15,"3",F16=$AC$16,"2",F16=$AC$17,"1",F16=$AC$18,"1"))*(IF(K16="",0.8,1)))*E16),"")</f>
        <v>1200.0000000000002</v>
      </c>
      <c r="H16" s="166"/>
      <c r="I16" s="198"/>
      <c r="J16" s="202" t="str">
        <f>IFERROR(H16/VLOOKUP(I16,'$ Conversion'!$A$9:$B$40,2,0),"")</f>
        <v/>
      </c>
      <c r="K16" s="1490"/>
      <c r="L16" s="819" t="str">
        <f>IFERROR(VLOOKUP(B16,Buildings!$B$9:$H$41,3,0),"")</f>
        <v>y</v>
      </c>
      <c r="M16" s="449" t="str">
        <f>IFERROR(VLOOKUP(B16,Buildings!$B$9:$H$41,7,0),"")</f>
        <v>Y</v>
      </c>
      <c r="N16" s="1308" t="str">
        <f>IFERROR(IF(K16&gt;0,K16,(VLOOKUP('Cover Sheet'!$B$15,'Carbon factors'!$B$116:$E$361,4,0))),"")</f>
        <v/>
      </c>
      <c r="O16" s="825" t="str">
        <f t="shared" ref="O16:O47" si="0">IFERROR((N16*E16),"")</f>
        <v/>
      </c>
      <c r="P16" s="819" t="str" cm="1">
        <f t="array" ref="P16">IFERROR(_xlfn.IFS(L16="Y","Scope 2",L16="N","Scope 3",L16="Unknown","Manually Select Scope -&gt;"),"")</f>
        <v>Scope 2</v>
      </c>
      <c r="Q16" s="1229"/>
      <c r="R16" s="1265" t="str">
        <f t="shared" ref="R16:R46" si="1">IFERROR((J16*E16),"")</f>
        <v/>
      </c>
      <c r="S16" s="1302" t="str">
        <f>IFERROR(IF(K16&gt;0,"User defined",(VLOOKUP('Cover Sheet'!$B$15,'Carbon factors'!$B$116:$E$361,3,0))),"")</f>
        <v/>
      </c>
      <c r="T16" s="1305"/>
      <c r="U16" s="1453"/>
      <c r="V16" s="202"/>
      <c r="W16" s="1454"/>
      <c r="Y16" s="261" t="s">
        <v>569</v>
      </c>
      <c r="Z16" s="158" t="s">
        <v>570</v>
      </c>
      <c r="AA16" s="158" t="s">
        <v>571</v>
      </c>
      <c r="AB16" s="158" t="s">
        <v>572</v>
      </c>
      <c r="AC16" s="158" t="s">
        <v>573</v>
      </c>
      <c r="AD16" s="158" t="s">
        <v>181</v>
      </c>
      <c r="AE16" s="262" t="s">
        <v>574</v>
      </c>
    </row>
    <row r="17" spans="1:31" x14ac:dyDescent="0.35">
      <c r="A17" s="1808"/>
      <c r="B17" s="824" t="s">
        <v>2594</v>
      </c>
      <c r="C17" s="479" t="str">
        <f>Energy!$B$14&amp;"|"&amp;'Cover Sheet'!$B$15</f>
        <v>Electricity Supplied to:|</v>
      </c>
      <c r="D17" s="158" t="s">
        <v>563</v>
      </c>
      <c r="E17" s="574">
        <v>400</v>
      </c>
      <c r="F17" s="186" t="s">
        <v>573</v>
      </c>
      <c r="G17" s="664" cm="1">
        <f t="array" ref="G17">IFERROR((((_xlfn.IFS(F17=$AC$15,"3",F17=$AC$16,"2",F17=$AC$17,"1",F17=$AC$18,"1"))*(IF(K17="",0.8,1)))*E17),"")</f>
        <v>640</v>
      </c>
      <c r="H17" s="166"/>
      <c r="I17" s="198"/>
      <c r="J17" s="183" t="str">
        <f>IFERROR(H17/VLOOKUP(I17,'$ Conversion'!$A$9:$B$40,2,0),"")</f>
        <v/>
      </c>
      <c r="K17" s="1490"/>
      <c r="L17" s="819" t="str">
        <f>IFERROR(VLOOKUP(B17,Buildings!$B$9:$H$41,3,0),"")</f>
        <v>y</v>
      </c>
      <c r="M17" s="449" t="str">
        <f>IFERROR(VLOOKUP(B17,Buildings!$B$9:$H$41,7,0),"")</f>
        <v>Y</v>
      </c>
      <c r="N17" s="1308" t="str">
        <f>IFERROR(IF(K17&gt;0,K17,(VLOOKUP('Cover Sheet'!$B$15,'Carbon factors'!$B$116:$E$361,4,0))),"")</f>
        <v/>
      </c>
      <c r="O17" s="826" t="str">
        <f t="shared" si="0"/>
        <v/>
      </c>
      <c r="P17" s="179" t="str" cm="1">
        <f t="array" ref="P17">IFERROR(_xlfn.IFS(L17="Y","Scope 2",L17="N","Scope 3",L17="Unknown","Manually Select Scope -&gt;"),"")</f>
        <v>Scope 2</v>
      </c>
      <c r="Q17" s="1230"/>
      <c r="R17" s="1266" t="str">
        <f t="shared" si="1"/>
        <v/>
      </c>
      <c r="S17" s="1303" t="str">
        <f>IFERROR(IF(K17&gt;0,"User defined",(VLOOKUP('Cover Sheet'!$B$15,'Carbon factors'!$B$116:$E$361,3,0))),"")</f>
        <v/>
      </c>
      <c r="T17" s="1305"/>
      <c r="U17" s="1297"/>
      <c r="V17" s="183"/>
      <c r="W17" s="1296"/>
      <c r="Y17" s="261" t="s">
        <v>575</v>
      </c>
      <c r="Z17" s="158" t="s">
        <v>576</v>
      </c>
      <c r="AA17" s="158" t="s">
        <v>577</v>
      </c>
      <c r="AB17" s="158" t="s">
        <v>578</v>
      </c>
      <c r="AC17" s="158" t="s">
        <v>579</v>
      </c>
      <c r="AD17" s="158" t="s">
        <v>192</v>
      </c>
      <c r="AE17" s="262" t="s">
        <v>580</v>
      </c>
    </row>
    <row r="18" spans="1:31" ht="16.5" x14ac:dyDescent="0.35">
      <c r="A18" s="1808"/>
      <c r="B18" s="824"/>
      <c r="C18" s="479" t="str">
        <f>Energy!$B$14&amp;"|"&amp;'Cover Sheet'!$B$15</f>
        <v>Electricity Supplied to:|</v>
      </c>
      <c r="D18" s="158" t="s">
        <v>563</v>
      </c>
      <c r="E18" s="574"/>
      <c r="F18" s="186"/>
      <c r="G18" s="664" t="str" cm="1">
        <f t="array" ref="G18">IFERROR((((_xlfn.IFS(F18=$AC$15,"3",F18=$AC$16,"2",F18=$AC$17,"1",F18=$AC$18,"1"))*(IF(K18="",0.8,1)))*E18),"")</f>
        <v/>
      </c>
      <c r="H18" s="166"/>
      <c r="I18" s="198"/>
      <c r="J18" s="183" t="str">
        <f>IFERROR(H18/VLOOKUP(I18,'$ Conversion'!$A$9:$B$40,2,0),"")</f>
        <v/>
      </c>
      <c r="K18" s="1490"/>
      <c r="L18" s="819" t="str">
        <f>IFERROR(VLOOKUP(B18,Buildings!$B$9:$H$41,3,0),"")</f>
        <v/>
      </c>
      <c r="M18" s="449" t="str">
        <f>IFERROR(VLOOKUP(B18,Buildings!$B$9:$H$41,7,0),"")</f>
        <v/>
      </c>
      <c r="N18" s="1308" t="str">
        <f>IFERROR(IF(K18&gt;0,K18,(VLOOKUP('Cover Sheet'!$B$15,'Carbon factors'!$B$116:$E$361,4,0))),"")</f>
        <v/>
      </c>
      <c r="O18" s="826" t="str">
        <f t="shared" si="0"/>
        <v/>
      </c>
      <c r="P18" s="179" t="str" cm="1">
        <f t="array" ref="P18">IFERROR(_xlfn.IFS(L18="Y","Scope 2",L18="N","Scope 3",L18="Unknown","Manually Select Scope -&gt;"),"")</f>
        <v/>
      </c>
      <c r="Q18" s="1230"/>
      <c r="R18" s="1266" t="str">
        <f t="shared" si="1"/>
        <v/>
      </c>
      <c r="S18" s="1303" t="str">
        <f>IFERROR(IF(K18&gt;0,"User defined",(VLOOKUP('Cover Sheet'!$B$15,'Carbon factors'!$B$116:$E$361,3,0))),"")</f>
        <v/>
      </c>
      <c r="T18" s="1305"/>
      <c r="U18" s="1297"/>
      <c r="V18" s="183"/>
      <c r="W18" s="1296"/>
      <c r="Y18" s="263" t="s">
        <v>581</v>
      </c>
      <c r="Z18" s="158" t="s">
        <v>582</v>
      </c>
      <c r="AA18" s="158" t="s">
        <v>583</v>
      </c>
      <c r="AB18" s="158" t="s">
        <v>584</v>
      </c>
      <c r="AC18" s="158" t="s">
        <v>585</v>
      </c>
      <c r="AD18" s="158" t="s">
        <v>586</v>
      </c>
      <c r="AE18" s="262" t="s">
        <v>587</v>
      </c>
    </row>
    <row r="19" spans="1:31" x14ac:dyDescent="0.35">
      <c r="A19" s="1808"/>
      <c r="B19" s="824"/>
      <c r="C19" s="479" t="str">
        <f>Energy!$B$14&amp;"|"&amp;'Cover Sheet'!$B$15</f>
        <v>Electricity Supplied to:|</v>
      </c>
      <c r="D19" s="158" t="s">
        <v>563</v>
      </c>
      <c r="E19" s="574"/>
      <c r="F19" s="186"/>
      <c r="G19" s="664" t="str" cm="1">
        <f t="array" ref="G19">IFERROR((((_xlfn.IFS(F19=$AC$15,"3",F19=$AC$16,"2",F19=$AC$17,"1",F19=$AC$18,"1"))*(IF(K19="",0.8,1)))*E19),"")</f>
        <v/>
      </c>
      <c r="H19" s="166"/>
      <c r="I19" s="198"/>
      <c r="J19" s="183" t="str">
        <f>IFERROR(H19/VLOOKUP(I19,'$ Conversion'!$A$9:$B$40,2,0),"")</f>
        <v/>
      </c>
      <c r="K19" s="1490"/>
      <c r="L19" s="819" t="str">
        <f>IFERROR(VLOOKUP(B19,Buildings!$B$9:$H$41,3,0),"")</f>
        <v/>
      </c>
      <c r="M19" s="449" t="str">
        <f>IFERROR(VLOOKUP(B19,Buildings!$B$9:$H$41,7,0),"")</f>
        <v/>
      </c>
      <c r="N19" s="1308" t="str">
        <f>IFERROR(IF(K19&gt;0,K19,(VLOOKUP('Cover Sheet'!$B$15,'Carbon factors'!$B$116:$E$361,4,0))),"")</f>
        <v/>
      </c>
      <c r="O19" s="826" t="str">
        <f t="shared" si="0"/>
        <v/>
      </c>
      <c r="P19" s="179" t="str" cm="1">
        <f t="array" ref="P19">IFERROR(_xlfn.IFS(L19="Y","Scope 2",L19="N","Scope 3",L19="Unknown","Manually Select Scope -&gt;"),"")</f>
        <v/>
      </c>
      <c r="Q19" s="1230"/>
      <c r="R19" s="1266" t="str">
        <f t="shared" si="1"/>
        <v/>
      </c>
      <c r="S19" s="1303" t="str">
        <f>IFERROR(IF(K19&gt;0,"User defined",(VLOOKUP('Cover Sheet'!$B$15,'Carbon factors'!$B$116:$E$361,3,0))),"")</f>
        <v/>
      </c>
      <c r="T19" s="1305"/>
      <c r="U19" s="1297"/>
      <c r="V19" s="183"/>
      <c r="W19" s="1296"/>
      <c r="Y19" s="261"/>
      <c r="Z19" s="158" t="s">
        <v>588</v>
      </c>
      <c r="AA19" s="158" t="s">
        <v>589</v>
      </c>
      <c r="AB19" s="158" t="s">
        <v>590</v>
      </c>
      <c r="AC19" s="158"/>
      <c r="AD19" s="158" t="s">
        <v>591</v>
      </c>
      <c r="AE19" s="262" t="s">
        <v>570</v>
      </c>
    </row>
    <row r="20" spans="1:31" x14ac:dyDescent="0.35">
      <c r="A20" s="1808"/>
      <c r="B20" s="824"/>
      <c r="C20" s="479" t="str">
        <f>Energy!$B$14&amp;"|"&amp;'Cover Sheet'!$B$15</f>
        <v>Electricity Supplied to:|</v>
      </c>
      <c r="D20" s="158" t="s">
        <v>563</v>
      </c>
      <c r="E20" s="574"/>
      <c r="F20" s="186"/>
      <c r="G20" s="664" t="str" cm="1">
        <f t="array" ref="G20">IFERROR((((_xlfn.IFS(F20=$AC$15,"3",F20=$AC$16,"2",F20=$AC$17,"1",F20=$AC$18,"1"))*(IF(K20="",0.8,1)))*E20),"")</f>
        <v/>
      </c>
      <c r="H20" s="166"/>
      <c r="I20" s="198"/>
      <c r="J20" s="183" t="str">
        <f>IFERROR(H20/VLOOKUP(I20,'$ Conversion'!$A$9:$B$40,2,0),"")</f>
        <v/>
      </c>
      <c r="K20" s="1490"/>
      <c r="L20" s="819" t="str">
        <f>IFERROR(VLOOKUP(B20,Buildings!$B$9:$H$41,3,0),"")</f>
        <v/>
      </c>
      <c r="M20" s="449" t="str">
        <f>IFERROR(VLOOKUP(B20,Buildings!$B$9:$H$41,7,0),"")</f>
        <v/>
      </c>
      <c r="N20" s="1308" t="str">
        <f>IFERROR(IF(K20&gt;0,K20,(VLOOKUP('Cover Sheet'!$B$15,'Carbon factors'!$B$116:$E$361,4,0))),"")</f>
        <v/>
      </c>
      <c r="O20" s="826" t="str">
        <f t="shared" si="0"/>
        <v/>
      </c>
      <c r="P20" s="179" t="str" cm="1">
        <f t="array" ref="P20">IFERROR(_xlfn.IFS(L20="Y","Scope 2",L20="N","Scope 3",L20="Unknown","Manually Select Scope -&gt;"),"")</f>
        <v/>
      </c>
      <c r="Q20" s="1230"/>
      <c r="R20" s="1266" t="str">
        <f t="shared" si="1"/>
        <v/>
      </c>
      <c r="S20" s="1303" t="str">
        <f>IFERROR(IF(K20&gt;0,"User defined",(VLOOKUP('Cover Sheet'!$B$15,'Carbon factors'!$B$116:$E$361,3,0))),"")</f>
        <v/>
      </c>
      <c r="T20" s="1305"/>
      <c r="U20" s="1297"/>
      <c r="V20" s="183"/>
      <c r="W20" s="1296"/>
      <c r="Y20" s="235"/>
      <c r="Z20" s="158" t="s">
        <v>592</v>
      </c>
      <c r="AA20" s="158" t="s">
        <v>593</v>
      </c>
      <c r="AB20" s="158" t="s">
        <v>594</v>
      </c>
      <c r="AC20" s="158"/>
      <c r="AD20" s="158"/>
      <c r="AE20" s="262" t="s">
        <v>208</v>
      </c>
    </row>
    <row r="21" spans="1:31" x14ac:dyDescent="0.35">
      <c r="A21" s="1808"/>
      <c r="B21" s="824"/>
      <c r="C21" s="479" t="str">
        <f>Energy!$B$14&amp;"|"&amp;'Cover Sheet'!$B$15</f>
        <v>Electricity Supplied to:|</v>
      </c>
      <c r="D21" s="158" t="s">
        <v>563</v>
      </c>
      <c r="E21" s="574"/>
      <c r="F21" s="186"/>
      <c r="G21" s="664" t="str" cm="1">
        <f t="array" ref="G21">IFERROR((((_xlfn.IFS(F21=$AC$15,"3",F21=$AC$16,"2",F21=$AC$17,"1",F21=$AC$18,"1"))*(IF(K21="",0.8,1)))*E21),"")</f>
        <v/>
      </c>
      <c r="H21" s="166"/>
      <c r="I21" s="198"/>
      <c r="J21" s="183" t="str">
        <f>IFERROR(H21/VLOOKUP(I21,'$ Conversion'!$A$9:$B$40,2,0),"")</f>
        <v/>
      </c>
      <c r="K21" s="1490"/>
      <c r="L21" s="819" t="str">
        <f>IFERROR(VLOOKUP(B21,Buildings!$B$9:$H$41,3,0),"")</f>
        <v/>
      </c>
      <c r="M21" s="449" t="str">
        <f>IFERROR(VLOOKUP(B21,Buildings!$B$9:$H$41,7,0),"")</f>
        <v/>
      </c>
      <c r="N21" s="1308" t="str">
        <f>IFERROR(IF(K21&gt;0,K21,(VLOOKUP('Cover Sheet'!$B$15,'Carbon factors'!$B$116:$E$361,4,0))),"")</f>
        <v/>
      </c>
      <c r="O21" s="826" t="str">
        <f t="shared" si="0"/>
        <v/>
      </c>
      <c r="P21" s="179" t="str" cm="1">
        <f t="array" ref="P21">IFERROR(_xlfn.IFS(L21="Y","Scope 2",L21="N","Scope 3",L21="Unknown","Manually Select Scope -&gt;"),"")</f>
        <v/>
      </c>
      <c r="Q21" s="1230"/>
      <c r="R21" s="1266" t="str">
        <f t="shared" si="1"/>
        <v/>
      </c>
      <c r="S21" s="1303" t="str">
        <f>IFERROR(IF(K21&gt;0,"User defined",(VLOOKUP('Cover Sheet'!$B$15,'Carbon factors'!$B$116:$E$361,3,0))),"")</f>
        <v/>
      </c>
      <c r="T21" s="1305"/>
      <c r="U21" s="1297"/>
      <c r="V21" s="183"/>
      <c r="W21" s="1296"/>
      <c r="Y21" s="235"/>
      <c r="Z21" s="158" t="s">
        <v>595</v>
      </c>
      <c r="AA21" s="158" t="s">
        <v>596</v>
      </c>
      <c r="AB21" s="158" t="s">
        <v>597</v>
      </c>
      <c r="AC21" s="158"/>
      <c r="AD21" s="158"/>
      <c r="AE21" s="262"/>
    </row>
    <row r="22" spans="1:31" x14ac:dyDescent="0.35">
      <c r="A22" s="1808"/>
      <c r="B22" s="824"/>
      <c r="C22" s="479" t="str">
        <f>Energy!$B$14&amp;"|"&amp;'Cover Sheet'!$B$15</f>
        <v>Electricity Supplied to:|</v>
      </c>
      <c r="D22" s="158" t="s">
        <v>563</v>
      </c>
      <c r="E22" s="574"/>
      <c r="F22" s="186"/>
      <c r="G22" s="664" t="str" cm="1">
        <f t="array" ref="G22">IFERROR((((_xlfn.IFS(F22=$AC$15,"3",F22=$AC$16,"2",F22=$AC$17,"1",F22=$AC$18,"1"))*(IF(K22="",0.8,1)))*E22),"")</f>
        <v/>
      </c>
      <c r="H22" s="166"/>
      <c r="I22" s="198"/>
      <c r="J22" s="183" t="str">
        <f>IFERROR(H22/VLOOKUP(I22,'$ Conversion'!$A$9:$B$40,2,0),"")</f>
        <v/>
      </c>
      <c r="K22" s="1490"/>
      <c r="L22" s="819" t="str">
        <f>IFERROR(VLOOKUP(B22,Buildings!$B$9:$H$41,3,0),"")</f>
        <v/>
      </c>
      <c r="M22" s="449" t="str">
        <f>IFERROR(VLOOKUP(B22,Buildings!$B$9:$H$41,7,0),"")</f>
        <v/>
      </c>
      <c r="N22" s="1308" t="str">
        <f>IFERROR(IF(K22&gt;0,K22,(VLOOKUP('Cover Sheet'!$B$15,'Carbon factors'!$B$116:$E$361,4,0))),"")</f>
        <v/>
      </c>
      <c r="O22" s="826" t="str">
        <f t="shared" si="0"/>
        <v/>
      </c>
      <c r="P22" s="179" t="str" cm="1">
        <f t="array" ref="P22">IFERROR(_xlfn.IFS(L22="Y","Scope 2",L22="N","Scope 3",L22="Unknown","Manually Select Scope -&gt;"),"")</f>
        <v/>
      </c>
      <c r="Q22" s="1230"/>
      <c r="R22" s="1266" t="str">
        <f t="shared" si="1"/>
        <v/>
      </c>
      <c r="S22" s="1303" t="str">
        <f>IFERROR(IF(K22&gt;0,"User defined",(VLOOKUP('Cover Sheet'!$B$15,'Carbon factors'!$B$116:$E$361,3,0))),"")</f>
        <v/>
      </c>
      <c r="T22" s="1305"/>
      <c r="U22" s="1297"/>
      <c r="V22" s="183"/>
      <c r="W22" s="1296"/>
      <c r="Y22" s="235"/>
      <c r="Z22" s="158" t="s">
        <v>598</v>
      </c>
      <c r="AA22" s="158"/>
      <c r="AB22" s="158" t="s">
        <v>599</v>
      </c>
      <c r="AC22" s="158"/>
      <c r="AD22" s="158"/>
      <c r="AE22" s="262"/>
    </row>
    <row r="23" spans="1:31" x14ac:dyDescent="0.35">
      <c r="A23" s="1808"/>
      <c r="B23" s="824"/>
      <c r="C23" s="479" t="str">
        <f>Energy!$B$14&amp;"|"&amp;'Cover Sheet'!$B$15</f>
        <v>Electricity Supplied to:|</v>
      </c>
      <c r="D23" s="158" t="s">
        <v>563</v>
      </c>
      <c r="E23" s="574"/>
      <c r="F23" s="186"/>
      <c r="G23" s="664" t="str" cm="1">
        <f t="array" ref="G23">IFERROR((((_xlfn.IFS(F23=$AC$15,"3",F23=$AC$16,"2",F23=$AC$17,"1",F23=$AC$18,"1"))*(IF(K23="",0.8,1)))*E23),"")</f>
        <v/>
      </c>
      <c r="H23" s="166"/>
      <c r="I23" s="198"/>
      <c r="J23" s="183" t="str">
        <f>IFERROR(H23/VLOOKUP(I23,'$ Conversion'!$A$9:$B$40,2,0),"")</f>
        <v/>
      </c>
      <c r="K23" s="1490"/>
      <c r="L23" s="819" t="str">
        <f>IFERROR(VLOOKUP(B23,Buildings!$B$9:$H$41,3,0),"")</f>
        <v/>
      </c>
      <c r="M23" s="449" t="str">
        <f>IFERROR(VLOOKUP(B23,Buildings!$B$9:$H$41,7,0),"")</f>
        <v/>
      </c>
      <c r="N23" s="1308" t="str">
        <f>IFERROR(IF(K23&gt;0,K23,(VLOOKUP('Cover Sheet'!$B$15,'Carbon factors'!$B$116:$E$361,4,0))),"")</f>
        <v/>
      </c>
      <c r="O23" s="826" t="str">
        <f t="shared" si="0"/>
        <v/>
      </c>
      <c r="P23" s="179" t="str" cm="1">
        <f t="array" ref="P23">IFERROR(_xlfn.IFS(L23="Y","Scope 2",L23="N","Scope 3",L23="Unknown","Manually Select Scope -&gt;"),"")</f>
        <v/>
      </c>
      <c r="Q23" s="1230"/>
      <c r="R23" s="1266" t="str">
        <f t="shared" si="1"/>
        <v/>
      </c>
      <c r="S23" s="1303" t="str">
        <f>IFERROR(IF(K23&gt;0,"User defined",(VLOOKUP('Cover Sheet'!$B$15,'Carbon factors'!$B$116:$E$361,3,0))),"")</f>
        <v/>
      </c>
      <c r="T23" s="1305"/>
      <c r="U23" s="1297"/>
      <c r="V23" s="183"/>
      <c r="W23" s="1296"/>
      <c r="Y23" s="235"/>
      <c r="Z23" s="158" t="s">
        <v>600</v>
      </c>
      <c r="AA23" s="158"/>
      <c r="AB23" s="158" t="s">
        <v>601</v>
      </c>
      <c r="AC23" s="158"/>
      <c r="AD23" s="158"/>
      <c r="AE23" s="262"/>
    </row>
    <row r="24" spans="1:31" x14ac:dyDescent="0.35">
      <c r="A24" s="1808"/>
      <c r="B24" s="824"/>
      <c r="C24" s="479" t="str">
        <f>Energy!$B$14&amp;"|"&amp;'Cover Sheet'!$B$15</f>
        <v>Electricity Supplied to:|</v>
      </c>
      <c r="D24" s="158" t="s">
        <v>563</v>
      </c>
      <c r="E24" s="574"/>
      <c r="F24" s="186"/>
      <c r="G24" s="664" t="str" cm="1">
        <f t="array" ref="G24">IFERROR((((_xlfn.IFS(F24=$AC$15,"3",F24=$AC$16,"2",F24=$AC$17,"1",F24=$AC$18,"1"))*(IF(K24="",0.8,1)))*E24),"")</f>
        <v/>
      </c>
      <c r="H24" s="166"/>
      <c r="I24" s="198"/>
      <c r="J24" s="183" t="str">
        <f>IFERROR(H24/VLOOKUP(I24,'$ Conversion'!$A$9:$B$40,2,0),"")</f>
        <v/>
      </c>
      <c r="K24" s="1490"/>
      <c r="L24" s="819" t="str">
        <f>IFERROR(VLOOKUP(B24,Buildings!$B$9:$H$41,3,0),"")</f>
        <v/>
      </c>
      <c r="M24" s="449" t="str">
        <f>IFERROR(VLOOKUP(B24,Buildings!$B$9:$H$41,7,0),"")</f>
        <v/>
      </c>
      <c r="N24" s="1308" t="str">
        <f>IFERROR(IF(K24&gt;0,K24,(VLOOKUP('Cover Sheet'!$B$15,'Carbon factors'!$B$116:$E$361,4,0))),"")</f>
        <v/>
      </c>
      <c r="O24" s="826" t="str">
        <f t="shared" si="0"/>
        <v/>
      </c>
      <c r="P24" s="179" t="str" cm="1">
        <f t="array" ref="P24">IFERROR(_xlfn.IFS(L24="Y","Scope 2",L24="N","Scope 3",L24="Unknown","Manually Select Scope -&gt;"),"")</f>
        <v/>
      </c>
      <c r="Q24" s="1230"/>
      <c r="R24" s="1266" t="str">
        <f t="shared" si="1"/>
        <v/>
      </c>
      <c r="S24" s="1303" t="str">
        <f>IFERROR(IF(K24&gt;0,"User defined",(VLOOKUP('Cover Sheet'!$B$15,'Carbon factors'!$B$116:$E$361,3,0))),"")</f>
        <v/>
      </c>
      <c r="T24" s="1305"/>
      <c r="U24" s="1297"/>
      <c r="V24" s="183"/>
      <c r="W24" s="1296"/>
      <c r="Y24" s="235"/>
      <c r="Z24" s="158"/>
      <c r="AA24" s="158"/>
      <c r="AB24" s="158" t="s">
        <v>602</v>
      </c>
      <c r="AC24" s="158"/>
      <c r="AD24" s="158"/>
      <c r="AE24" s="262"/>
    </row>
    <row r="25" spans="1:31" x14ac:dyDescent="0.35">
      <c r="A25" s="1808"/>
      <c r="B25" s="824"/>
      <c r="C25" s="479" t="str">
        <f>Energy!$B$14&amp;"|"&amp;'Cover Sheet'!$B$15</f>
        <v>Electricity Supplied to:|</v>
      </c>
      <c r="D25" s="158" t="s">
        <v>563</v>
      </c>
      <c r="E25" s="574"/>
      <c r="F25" s="186"/>
      <c r="G25" s="664" t="str" cm="1">
        <f t="array" ref="G25">IFERROR((((_xlfn.IFS(F25=$AC$15,"3",F25=$AC$16,"2",F25=$AC$17,"1",F25=$AC$18,"1"))*(IF(K25="",0.8,1)))*E25),"")</f>
        <v/>
      </c>
      <c r="H25" s="166"/>
      <c r="I25" s="198"/>
      <c r="J25" s="183" t="str">
        <f>IFERROR(H25/VLOOKUP(I25,'$ Conversion'!$A$9:$B$40,2,0),"")</f>
        <v/>
      </c>
      <c r="K25" s="1490"/>
      <c r="L25" s="819" t="str">
        <f>IFERROR(VLOOKUP(B25,Buildings!$B$9:$H$41,3,0),"")</f>
        <v/>
      </c>
      <c r="M25" s="449" t="str">
        <f>IFERROR(VLOOKUP(B25,Buildings!$B$9:$H$41,7,0),"")</f>
        <v/>
      </c>
      <c r="N25" s="1308" t="str">
        <f>IFERROR(IF(K25&gt;0,K25,(VLOOKUP('Cover Sheet'!$B$15,'Carbon factors'!$B$116:$E$361,4,0))),"")</f>
        <v/>
      </c>
      <c r="O25" s="826" t="str">
        <f t="shared" si="0"/>
        <v/>
      </c>
      <c r="P25" s="179" t="str" cm="1">
        <f t="array" ref="P25">IFERROR(_xlfn.IFS(L25="Y","Scope 2",L25="N","Scope 3",L25="Unknown","Manually Select Scope -&gt;"),"")</f>
        <v/>
      </c>
      <c r="Q25" s="1230"/>
      <c r="R25" s="1266" t="str">
        <f t="shared" si="1"/>
        <v/>
      </c>
      <c r="S25" s="1303" t="str">
        <f>IFERROR(IF(K25&gt;0,"User defined",(VLOOKUP('Cover Sheet'!$B$15,'Carbon factors'!$B$116:$E$361,3,0))),"")</f>
        <v/>
      </c>
      <c r="T25" s="1305"/>
      <c r="U25" s="1297"/>
      <c r="V25" s="183"/>
      <c r="W25" s="1296"/>
      <c r="Y25" s="235"/>
      <c r="Z25" s="158"/>
      <c r="AA25" s="158"/>
      <c r="AB25" s="158" t="s">
        <v>603</v>
      </c>
      <c r="AC25" s="158"/>
      <c r="AD25" s="158"/>
      <c r="AE25" s="262"/>
    </row>
    <row r="26" spans="1:31" x14ac:dyDescent="0.35">
      <c r="A26" s="1808"/>
      <c r="B26" s="824"/>
      <c r="C26" s="479" t="str">
        <f>Energy!$B$14&amp;"|"&amp;'Cover Sheet'!$B$15</f>
        <v>Electricity Supplied to:|</v>
      </c>
      <c r="D26" s="158" t="s">
        <v>563</v>
      </c>
      <c r="E26" s="574"/>
      <c r="F26" s="186"/>
      <c r="G26" s="664" t="str" cm="1">
        <f t="array" ref="G26">IFERROR((((_xlfn.IFS(F26=$AC$15,"3",F26=$AC$16,"2",F26=$AC$17,"1",F26=$AC$18,"1"))*(IF(K26="",0.8,1)))*E26),"")</f>
        <v/>
      </c>
      <c r="H26" s="166"/>
      <c r="I26" s="198"/>
      <c r="J26" s="183" t="str">
        <f>IFERROR(H26/VLOOKUP(I26,'$ Conversion'!$A$9:$B$40,2,0),"")</f>
        <v/>
      </c>
      <c r="K26" s="200"/>
      <c r="L26" s="819" t="str">
        <f>IFERROR(VLOOKUP(B26,Buildings!$B$9:$H$41,3,0),"")</f>
        <v/>
      </c>
      <c r="M26" s="449" t="str">
        <f>IFERROR(VLOOKUP(B26,Buildings!$B$9:$H$41,7,0),"")</f>
        <v/>
      </c>
      <c r="N26" s="1308" t="str">
        <f>IFERROR(IF(K26&gt;0,K26,(VLOOKUP('Cover Sheet'!$B$15,'Carbon factors'!$B$116:$E$361,4,0))),"")</f>
        <v/>
      </c>
      <c r="O26" s="826" t="str">
        <f t="shared" si="0"/>
        <v/>
      </c>
      <c r="P26" s="179" t="str" cm="1">
        <f t="array" ref="P26">IFERROR(_xlfn.IFS(L26="Y","Scope 2",L26="N","Scope 3",L26="Unknown","Manually Select Scope -&gt;"),"")</f>
        <v/>
      </c>
      <c r="Q26" s="1230"/>
      <c r="R26" s="1266" t="str">
        <f t="shared" si="1"/>
        <v/>
      </c>
      <c r="S26" s="1303" t="str">
        <f>IFERROR(IF(K26&gt;0,"User defined",(VLOOKUP('Cover Sheet'!$B$15,'Carbon factors'!$B$116:$E$361,3,0))),"")</f>
        <v/>
      </c>
      <c r="T26" s="1305"/>
      <c r="U26" s="1297"/>
      <c r="V26" s="183"/>
      <c r="W26" s="1296"/>
      <c r="Y26" s="235"/>
      <c r="Z26" s="158"/>
      <c r="AA26" s="158"/>
      <c r="AB26" s="158"/>
      <c r="AC26" s="158"/>
      <c r="AD26" s="158"/>
      <c r="AE26" s="262"/>
    </row>
    <row r="27" spans="1:31" x14ac:dyDescent="0.35">
      <c r="A27" s="1808"/>
      <c r="B27" s="824"/>
      <c r="C27" s="479" t="str">
        <f>Energy!$B$14&amp;"|"&amp;'Cover Sheet'!$B$15</f>
        <v>Electricity Supplied to:|</v>
      </c>
      <c r="D27" s="158" t="s">
        <v>563</v>
      </c>
      <c r="E27" s="574"/>
      <c r="F27" s="186"/>
      <c r="G27" s="664" t="str" cm="1">
        <f t="array" ref="G27">IFERROR((((_xlfn.IFS(F27=$AC$15,"3",F27=$AC$16,"2",F27=$AC$17,"1",F27=$AC$18,"1"))*(IF(K27="",0.8,1)))*E27),"")</f>
        <v/>
      </c>
      <c r="H27" s="166"/>
      <c r="I27" s="198"/>
      <c r="J27" s="183" t="str">
        <f>IFERROR(H27/VLOOKUP(I27,'$ Conversion'!$A$9:$B$40,2,0),"")</f>
        <v/>
      </c>
      <c r="K27" s="200"/>
      <c r="L27" s="819" t="str">
        <f>IFERROR(VLOOKUP(B27,Buildings!$B$9:$H$41,3,0),"")</f>
        <v/>
      </c>
      <c r="M27" s="449" t="str">
        <f>IFERROR(VLOOKUP(B27,Buildings!$B$9:$H$41,7,0),"")</f>
        <v/>
      </c>
      <c r="N27" s="1308" t="str">
        <f>IFERROR(IF(K27&gt;0,K27,(VLOOKUP('Cover Sheet'!$B$15,'Carbon factors'!$B$116:$E$361,4,0))),"")</f>
        <v/>
      </c>
      <c r="O27" s="826" t="str">
        <f t="shared" si="0"/>
        <v/>
      </c>
      <c r="P27" s="179" t="str" cm="1">
        <f t="array" ref="P27">IFERROR(_xlfn.IFS(L27="Y","Scope 2",L27="N","Scope 3",L27="Unknown","Manually Select Scope -&gt;"),"")</f>
        <v/>
      </c>
      <c r="Q27" s="1230"/>
      <c r="R27" s="1266" t="str">
        <f t="shared" si="1"/>
        <v/>
      </c>
      <c r="S27" s="1303" t="str">
        <f>IFERROR(IF(K27&gt;0,"User defined",(VLOOKUP('Cover Sheet'!$B$15,'Carbon factors'!$B$116:$E$361,3,0))),"")</f>
        <v/>
      </c>
      <c r="T27" s="1305"/>
      <c r="U27" s="1297"/>
      <c r="V27" s="183"/>
      <c r="W27" s="1296"/>
      <c r="Y27" s="235"/>
      <c r="Z27" s="158"/>
      <c r="AA27" s="158"/>
      <c r="AB27" s="158"/>
      <c r="AC27" s="158"/>
      <c r="AD27" s="158"/>
      <c r="AE27" s="262"/>
    </row>
    <row r="28" spans="1:31" ht="15" thickBot="1" x14ac:dyDescent="0.4">
      <c r="A28" s="1808"/>
      <c r="B28" s="824"/>
      <c r="C28" s="479" t="str">
        <f>Energy!$B$14&amp;"|"&amp;'Cover Sheet'!$B$15</f>
        <v>Electricity Supplied to:|</v>
      </c>
      <c r="D28" s="158" t="s">
        <v>563</v>
      </c>
      <c r="E28" s="574"/>
      <c r="F28" s="186"/>
      <c r="G28" s="664" t="str" cm="1">
        <f t="array" ref="G28">IFERROR((((_xlfn.IFS(F28=$AC$15,"3",F28=$AC$16,"2",F28=$AC$17,"1",F28=$AC$18,"1"))*(IF(K28="",0.8,1)))*E28),"")</f>
        <v/>
      </c>
      <c r="H28" s="166"/>
      <c r="I28" s="198"/>
      <c r="J28" s="183" t="str">
        <f>IFERROR(H28/VLOOKUP(I28,'$ Conversion'!$A$9:$B$40,2,0),"")</f>
        <v/>
      </c>
      <c r="K28" s="200"/>
      <c r="L28" s="819" t="str">
        <f>IFERROR(VLOOKUP(B28,Buildings!$B$9:$H$41,3,0),"")</f>
        <v/>
      </c>
      <c r="M28" s="449" t="str">
        <f>IFERROR(VLOOKUP(B28,Buildings!$B$9:$H$41,7,0),"")</f>
        <v/>
      </c>
      <c r="N28" s="1308" t="str">
        <f>IFERROR(IF(K28&gt;0,K28,(VLOOKUP('Cover Sheet'!$B$15,'Carbon factors'!$B$116:$E$361,4,0))),"")</f>
        <v/>
      </c>
      <c r="O28" s="826" t="str">
        <f t="shared" si="0"/>
        <v/>
      </c>
      <c r="P28" s="179" t="str" cm="1">
        <f t="array" ref="P28">IFERROR(_xlfn.IFS(L28="Y","Scope 2",L28="N","Scope 3",L28="Unknown","Manually Select Scope -&gt;"),"")</f>
        <v/>
      </c>
      <c r="Q28" s="1230"/>
      <c r="R28" s="1266" t="str">
        <f t="shared" si="1"/>
        <v/>
      </c>
      <c r="S28" s="1303" t="str">
        <f>IFERROR(IF(K28&gt;0,"User defined",(VLOOKUP('Cover Sheet'!$B$15,'Carbon factors'!$B$116:$E$361,3,0))),"")</f>
        <v/>
      </c>
      <c r="T28" s="1305"/>
      <c r="U28" s="1297"/>
      <c r="V28" s="183"/>
      <c r="W28" s="1296"/>
      <c r="Y28" s="256"/>
      <c r="Z28" s="250"/>
      <c r="AA28" s="250"/>
      <c r="AB28" s="250"/>
      <c r="AC28" s="250"/>
      <c r="AD28" s="250"/>
      <c r="AE28" s="1136"/>
    </row>
    <row r="29" spans="1:31" x14ac:dyDescent="0.35">
      <c r="A29" s="1808"/>
      <c r="B29" s="824"/>
      <c r="C29" s="479" t="str">
        <f>Energy!$B$14&amp;"|"&amp;'Cover Sheet'!$B$15</f>
        <v>Electricity Supplied to:|</v>
      </c>
      <c r="D29" s="158" t="s">
        <v>563</v>
      </c>
      <c r="E29" s="574"/>
      <c r="F29" s="186"/>
      <c r="G29" s="664" t="str" cm="1">
        <f t="array" ref="G29">IFERROR((((_xlfn.IFS(F29=$AC$15,"3",F29=$AC$16,"2",F29=$AC$17,"1",F29=$AC$18,"1"))*(IF(K29="",0.8,1)))*E29),"")</f>
        <v/>
      </c>
      <c r="H29" s="166"/>
      <c r="I29" s="198"/>
      <c r="J29" s="183" t="str">
        <f>IFERROR(H29/VLOOKUP(I29,'$ Conversion'!$A$9:$B$40,2,0),"")</f>
        <v/>
      </c>
      <c r="K29" s="200"/>
      <c r="L29" s="819" t="str">
        <f>IFERROR(VLOOKUP(B29,Buildings!$B$9:$H$41,3,0),"")</f>
        <v/>
      </c>
      <c r="M29" s="449" t="str">
        <f>IFERROR(VLOOKUP(B29,Buildings!$B$9:$H$41,7,0),"")</f>
        <v/>
      </c>
      <c r="N29" s="1308" t="str">
        <f>IFERROR(IF(K29&gt;0,K29,(VLOOKUP('Cover Sheet'!$B$15,'Carbon factors'!$B$116:$E$361,4,0))),"")</f>
        <v/>
      </c>
      <c r="O29" s="826" t="str">
        <f t="shared" si="0"/>
        <v/>
      </c>
      <c r="P29" s="179" t="str" cm="1">
        <f t="array" ref="P29">IFERROR(_xlfn.IFS(L29="Y","Scope 2",L29="N","Scope 3",L29="Unknown","Manually Select Scope -&gt;"),"")</f>
        <v/>
      </c>
      <c r="Q29" s="1230"/>
      <c r="R29" s="1266" t="str">
        <f t="shared" si="1"/>
        <v/>
      </c>
      <c r="S29" s="1303" t="str">
        <f>IFERROR(IF(K29&gt;0,"User defined",(VLOOKUP('Cover Sheet'!$B$15,'Carbon factors'!$B$116:$E$361,3,0))),"")</f>
        <v/>
      </c>
      <c r="T29" s="1305"/>
      <c r="U29" s="1297"/>
      <c r="V29" s="183"/>
      <c r="W29" s="1296"/>
      <c r="Y29" s="7"/>
    </row>
    <row r="30" spans="1:31" x14ac:dyDescent="0.35">
      <c r="A30" s="1808"/>
      <c r="B30" s="824"/>
      <c r="C30" s="479" t="str">
        <f>Energy!$B$14&amp;"|"&amp;'Cover Sheet'!$B$15</f>
        <v>Electricity Supplied to:|</v>
      </c>
      <c r="D30" s="158" t="s">
        <v>563</v>
      </c>
      <c r="E30" s="574"/>
      <c r="F30" s="186"/>
      <c r="G30" s="664" t="str" cm="1">
        <f t="array" ref="G30">IFERROR((((_xlfn.IFS(F30=$AC$15,"3",F30=$AC$16,"2",F30=$AC$17,"1",F30=$AC$18,"1"))*(IF(K30="",0.8,1)))*E30),"")</f>
        <v/>
      </c>
      <c r="H30" s="166"/>
      <c r="I30" s="198"/>
      <c r="J30" s="183" t="str">
        <f>IFERROR(H30/VLOOKUP(I30,'$ Conversion'!$A$9:$B$40,2,0),"")</f>
        <v/>
      </c>
      <c r="K30" s="200"/>
      <c r="L30" s="819" t="str">
        <f>IFERROR(VLOOKUP(B30,Buildings!$B$9:$H$41,3,0),"")</f>
        <v/>
      </c>
      <c r="M30" s="449" t="str">
        <f>IFERROR(VLOOKUP(B30,Buildings!$B$9:$H$41,7,0),"")</f>
        <v/>
      </c>
      <c r="N30" s="1308" t="str">
        <f>IFERROR(IF(K30&gt;0,K30,(VLOOKUP('Cover Sheet'!$B$15,'Carbon factors'!$B$116:$E$361,4,0))),"")</f>
        <v/>
      </c>
      <c r="O30" s="826" t="str">
        <f t="shared" si="0"/>
        <v/>
      </c>
      <c r="P30" s="179" t="str" cm="1">
        <f t="array" ref="P30">IFERROR(_xlfn.IFS(L30="Y","Scope 2",L30="N","Scope 3",L30="Unknown","Manually Select Scope -&gt;"),"")</f>
        <v/>
      </c>
      <c r="Q30" s="1230"/>
      <c r="R30" s="1266" t="str">
        <f t="shared" si="1"/>
        <v/>
      </c>
      <c r="S30" s="1303" t="str">
        <f>IFERROR(IF(K30&gt;0,"User defined",(VLOOKUP('Cover Sheet'!$B$15,'Carbon factors'!$B$116:$E$361,3,0))),"")</f>
        <v/>
      </c>
      <c r="T30" s="1305"/>
      <c r="U30" s="1297"/>
      <c r="V30" s="183"/>
      <c r="W30" s="1296"/>
      <c r="Y30" s="7"/>
    </row>
    <row r="31" spans="1:31" x14ac:dyDescent="0.35">
      <c r="A31" s="1808"/>
      <c r="B31" s="824"/>
      <c r="C31" s="479" t="str">
        <f>Energy!$B$14&amp;"|"&amp;'Cover Sheet'!$B$15</f>
        <v>Electricity Supplied to:|</v>
      </c>
      <c r="D31" s="158" t="s">
        <v>563</v>
      </c>
      <c r="E31" s="574"/>
      <c r="F31" s="186"/>
      <c r="G31" s="664" t="str" cm="1">
        <f t="array" ref="G31">IFERROR((((_xlfn.IFS(F31=$AC$15,"3",F31=$AC$16,"2",F31=$AC$17,"1",F31=$AC$18,"1"))*(IF(K31="",0.8,1)))*E31),"")</f>
        <v/>
      </c>
      <c r="H31" s="166"/>
      <c r="I31" s="198"/>
      <c r="J31" s="183" t="str">
        <f>IFERROR(H31/VLOOKUP(I31,'$ Conversion'!$A$9:$B$40,2,0),"")</f>
        <v/>
      </c>
      <c r="K31" s="200"/>
      <c r="L31" s="819" t="str">
        <f>IFERROR(VLOOKUP(B31,Buildings!$B$9:$H$41,3,0),"")</f>
        <v/>
      </c>
      <c r="M31" s="449" t="str">
        <f>IFERROR(VLOOKUP(B31,Buildings!$B$9:$H$41,7,0),"")</f>
        <v/>
      </c>
      <c r="N31" s="1308" t="str">
        <f>IFERROR(IF(K31&gt;0,K31,(VLOOKUP('Cover Sheet'!$B$15,'Carbon factors'!$B$116:$E$361,4,0))),"")</f>
        <v/>
      </c>
      <c r="O31" s="826" t="str">
        <f t="shared" si="0"/>
        <v/>
      </c>
      <c r="P31" s="179" t="str" cm="1">
        <f t="array" ref="P31">IFERROR(_xlfn.IFS(L31="Y","Scope 2",L31="N","Scope 3",L31="Unknown","Manually Select Scope -&gt;"),"")</f>
        <v/>
      </c>
      <c r="Q31" s="1230"/>
      <c r="R31" s="1266" t="str">
        <f t="shared" si="1"/>
        <v/>
      </c>
      <c r="S31" s="1303" t="str">
        <f>IFERROR(IF(K31&gt;0,"User defined",(VLOOKUP('Cover Sheet'!$B$15,'Carbon factors'!$B$116:$E$361,3,0))),"")</f>
        <v/>
      </c>
      <c r="T31" s="1305"/>
      <c r="U31" s="1297"/>
      <c r="V31" s="183"/>
      <c r="W31" s="1296"/>
      <c r="Y31" s="7"/>
    </row>
    <row r="32" spans="1:31" x14ac:dyDescent="0.35">
      <c r="A32" s="1808"/>
      <c r="B32" s="824"/>
      <c r="C32" s="479" t="str">
        <f>Energy!$B$14&amp;"|"&amp;'Cover Sheet'!$B$15</f>
        <v>Electricity Supplied to:|</v>
      </c>
      <c r="D32" s="158" t="s">
        <v>563</v>
      </c>
      <c r="E32" s="574"/>
      <c r="F32" s="186"/>
      <c r="G32" s="664" t="str" cm="1">
        <f t="array" ref="G32">IFERROR((((_xlfn.IFS(F32=$AC$15,"3",F32=$AC$16,"2",F32=$AC$17,"1",F32=$AC$18,"1"))*(IF(K32="",0.8,1)))*E32),"")</f>
        <v/>
      </c>
      <c r="H32" s="166"/>
      <c r="I32" s="198"/>
      <c r="J32" s="183" t="str">
        <f>IFERROR(H32/VLOOKUP(I32,'$ Conversion'!$A$9:$B$40,2,0),"")</f>
        <v/>
      </c>
      <c r="K32" s="200"/>
      <c r="L32" s="819" t="str">
        <f>IFERROR(VLOOKUP(B32,Buildings!$B$9:$H$41,3,0),"")</f>
        <v/>
      </c>
      <c r="M32" s="449" t="str">
        <f>IFERROR(VLOOKUP(B32,Buildings!$B$9:$H$41,7,0),"")</f>
        <v/>
      </c>
      <c r="N32" s="1308" t="str">
        <f>IFERROR(IF(K32&gt;0,K32,(VLOOKUP('Cover Sheet'!$B$15,'Carbon factors'!$B$116:$E$361,4,0))),"")</f>
        <v/>
      </c>
      <c r="O32" s="826" t="str">
        <f t="shared" si="0"/>
        <v/>
      </c>
      <c r="P32" s="179" t="str" cm="1">
        <f t="array" ref="P32">IFERROR(_xlfn.IFS(L32="Y","Scope 2",L32="N","Scope 3",L32="Unknown","Manually Select Scope -&gt;"),"")</f>
        <v/>
      </c>
      <c r="Q32" s="1230"/>
      <c r="R32" s="1266" t="str">
        <f t="shared" si="1"/>
        <v/>
      </c>
      <c r="S32" s="1303" t="str">
        <f>IFERROR(IF(K32&gt;0,"User defined",(VLOOKUP('Cover Sheet'!$B$15,'Carbon factors'!$B$116:$E$361,3,0))),"")</f>
        <v/>
      </c>
      <c r="T32" s="1305"/>
      <c r="U32" s="1297"/>
      <c r="V32" s="183"/>
      <c r="W32" s="1296"/>
      <c r="Y32" s="7"/>
    </row>
    <row r="33" spans="1:25" x14ac:dyDescent="0.35">
      <c r="A33" s="1808"/>
      <c r="B33" s="824"/>
      <c r="C33" s="479" t="str">
        <f>Energy!$B$14&amp;"|"&amp;'Cover Sheet'!$B$15</f>
        <v>Electricity Supplied to:|</v>
      </c>
      <c r="D33" s="158" t="s">
        <v>563</v>
      </c>
      <c r="E33" s="574"/>
      <c r="F33" s="186"/>
      <c r="G33" s="664" t="str" cm="1">
        <f t="array" ref="G33">IFERROR((((_xlfn.IFS(F33=$AC$15,"3",F33=$AC$16,"2",F33=$AC$17,"1",F33=$AC$18,"1"))*(IF(K33="",0.8,1)))*E33),"")</f>
        <v/>
      </c>
      <c r="H33" s="166"/>
      <c r="I33" s="198"/>
      <c r="J33" s="183" t="str">
        <f>IFERROR(H33/VLOOKUP(I33,'$ Conversion'!$A$9:$B$40,2,0),"")</f>
        <v/>
      </c>
      <c r="K33" s="200"/>
      <c r="L33" s="819" t="str">
        <f>IFERROR(VLOOKUP(B33,Buildings!$B$9:$H$41,3,0),"")</f>
        <v/>
      </c>
      <c r="M33" s="449" t="str">
        <f>IFERROR(VLOOKUP(B33,Buildings!$B$9:$H$41,7,0),"")</f>
        <v/>
      </c>
      <c r="N33" s="1308" t="str">
        <f>IFERROR(IF(K33&gt;0,K33,(VLOOKUP('Cover Sheet'!$B$15,'Carbon factors'!$B$116:$E$361,4,0))),"")</f>
        <v/>
      </c>
      <c r="O33" s="826" t="str">
        <f t="shared" si="0"/>
        <v/>
      </c>
      <c r="P33" s="179" t="str" cm="1">
        <f t="array" ref="P33">IFERROR(_xlfn.IFS(L33="Y","Scope 2",L33="N","Scope 3",L33="Unknown","Manually Select Scope -&gt;"),"")</f>
        <v/>
      </c>
      <c r="Q33" s="1230"/>
      <c r="R33" s="1266" t="str">
        <f t="shared" si="1"/>
        <v/>
      </c>
      <c r="S33" s="1303" t="str">
        <f>IFERROR(IF(K33&gt;0,"User defined",(VLOOKUP('Cover Sheet'!$B$15,'Carbon factors'!$B$116:$E$361,3,0))),"")</f>
        <v/>
      </c>
      <c r="T33" s="1305"/>
      <c r="U33" s="1297"/>
      <c r="V33" s="183"/>
      <c r="W33" s="1296"/>
      <c r="Y33" s="7"/>
    </row>
    <row r="34" spans="1:25" x14ac:dyDescent="0.35">
      <c r="A34" s="1808"/>
      <c r="B34" s="824"/>
      <c r="C34" s="479" t="str">
        <f>Energy!$B$14&amp;"|"&amp;'Cover Sheet'!$B$15</f>
        <v>Electricity Supplied to:|</v>
      </c>
      <c r="D34" s="158" t="s">
        <v>563</v>
      </c>
      <c r="E34" s="574"/>
      <c r="F34" s="186"/>
      <c r="G34" s="664" t="str" cm="1">
        <f t="array" ref="G34">IFERROR((((_xlfn.IFS(F34=$AC$15,"3",F34=$AC$16,"2",F34=$AC$17,"1",F34=$AC$18,"1"))*(IF(K34="",0.8,1)))*E34),"")</f>
        <v/>
      </c>
      <c r="H34" s="166"/>
      <c r="I34" s="198"/>
      <c r="J34" s="183" t="str">
        <f>IFERROR(H34/VLOOKUP(I34,'$ Conversion'!$A$9:$B$40,2,0),"")</f>
        <v/>
      </c>
      <c r="K34" s="200"/>
      <c r="L34" s="819" t="str">
        <f>IFERROR(VLOOKUP(B34,Buildings!$B$9:$H$41,3,0),"")</f>
        <v/>
      </c>
      <c r="M34" s="449" t="str">
        <f>IFERROR(VLOOKUP(B34,Buildings!$B$9:$H$41,7,0),"")</f>
        <v/>
      </c>
      <c r="N34" s="1308" t="str">
        <f>IFERROR(IF(K34&gt;0,K34,(VLOOKUP('Cover Sheet'!$B$15,'Carbon factors'!$B$116:$E$361,4,0))),"")</f>
        <v/>
      </c>
      <c r="O34" s="826" t="str">
        <f t="shared" si="0"/>
        <v/>
      </c>
      <c r="P34" s="179" t="str" cm="1">
        <f t="array" ref="P34">IFERROR(_xlfn.IFS(L34="Y","Scope 2",L34="N","Scope 3",L34="Unknown","Manually Select Scope -&gt;"),"")</f>
        <v/>
      </c>
      <c r="Q34" s="1230"/>
      <c r="R34" s="1266" t="str">
        <f t="shared" si="1"/>
        <v/>
      </c>
      <c r="S34" s="1303" t="str">
        <f>IFERROR(IF(K34&gt;0,"User defined",(VLOOKUP('Cover Sheet'!$B$15,'Carbon factors'!$B$116:$E$361,3,0))),"")</f>
        <v/>
      </c>
      <c r="T34" s="1305"/>
      <c r="U34" s="1297"/>
      <c r="V34" s="183"/>
      <c r="W34" s="1296"/>
      <c r="Y34" s="7"/>
    </row>
    <row r="35" spans="1:25" x14ac:dyDescent="0.35">
      <c r="A35" s="1808"/>
      <c r="B35" s="824"/>
      <c r="C35" s="479" t="str">
        <f>Energy!$B$14&amp;"|"&amp;'Cover Sheet'!$B$15</f>
        <v>Electricity Supplied to:|</v>
      </c>
      <c r="D35" s="158" t="s">
        <v>563</v>
      </c>
      <c r="E35" s="574"/>
      <c r="F35" s="186"/>
      <c r="G35" s="664" t="str" cm="1">
        <f t="array" ref="G35">IFERROR((((_xlfn.IFS(F35=$AC$15,"3",F35=$AC$16,"2",F35=$AC$17,"1",F35=$AC$18,"1"))*(IF(K35="",0.8,1)))*E35),"")</f>
        <v/>
      </c>
      <c r="H35" s="166"/>
      <c r="I35" s="198"/>
      <c r="J35" s="183" t="str">
        <f>IFERROR(H35/VLOOKUP(I35,'$ Conversion'!$A$9:$B$40,2,0),"")</f>
        <v/>
      </c>
      <c r="K35" s="200"/>
      <c r="L35" s="819" t="str">
        <f>IFERROR(VLOOKUP(B35,Buildings!$B$9:$H$41,3,0),"")</f>
        <v/>
      </c>
      <c r="M35" s="449" t="str">
        <f>IFERROR(VLOOKUP(B35,Buildings!$B$9:$H$41,7,0),"")</f>
        <v/>
      </c>
      <c r="N35" s="1308" t="str">
        <f>IFERROR(IF(K35&gt;0,K35,(VLOOKUP('Cover Sheet'!$B$15,'Carbon factors'!$B$116:$E$361,4,0))),"")</f>
        <v/>
      </c>
      <c r="O35" s="826" t="str">
        <f t="shared" si="0"/>
        <v/>
      </c>
      <c r="P35" s="179" t="str" cm="1">
        <f t="array" ref="P35">IFERROR(_xlfn.IFS(L35="Y","Scope 2",L35="N","Scope 3",L35="Unknown","Manually Select Scope -&gt;"),"")</f>
        <v/>
      </c>
      <c r="Q35" s="1230"/>
      <c r="R35" s="1266" t="str">
        <f t="shared" si="1"/>
        <v/>
      </c>
      <c r="S35" s="1303" t="str">
        <f>IFERROR(IF(K35&gt;0,"User defined",(VLOOKUP('Cover Sheet'!$B$15,'Carbon factors'!$B$116:$E$361,3,0))),"")</f>
        <v/>
      </c>
      <c r="T35" s="1305"/>
      <c r="U35" s="1297"/>
      <c r="V35" s="183"/>
      <c r="W35" s="1296"/>
      <c r="Y35" s="7"/>
    </row>
    <row r="36" spans="1:25" x14ac:dyDescent="0.35">
      <c r="A36" s="1808"/>
      <c r="B36" s="824"/>
      <c r="C36" s="479" t="str">
        <f>Energy!$B$14&amp;"|"&amp;'Cover Sheet'!$B$15</f>
        <v>Electricity Supplied to:|</v>
      </c>
      <c r="D36" s="158" t="s">
        <v>563</v>
      </c>
      <c r="E36" s="574"/>
      <c r="F36" s="186"/>
      <c r="G36" s="664" t="str" cm="1">
        <f t="array" ref="G36">IFERROR((((_xlfn.IFS(F36=$AC$15,"3",F36=$AC$16,"2",F36=$AC$17,"1",F36=$AC$18,"1"))*(IF(K36="",0.8,1)))*E36),"")</f>
        <v/>
      </c>
      <c r="H36" s="166"/>
      <c r="I36" s="198"/>
      <c r="J36" s="183" t="str">
        <f>IFERROR(H36/VLOOKUP(I36,'$ Conversion'!$A$9:$B$40,2,0),"")</f>
        <v/>
      </c>
      <c r="K36" s="200"/>
      <c r="L36" s="819" t="str">
        <f>IFERROR(VLOOKUP(B36,Buildings!$B$9:$H$41,3,0),"")</f>
        <v/>
      </c>
      <c r="M36" s="449" t="str">
        <f>IFERROR(VLOOKUP(B36,Buildings!$B$9:$H$41,7,0),"")</f>
        <v/>
      </c>
      <c r="N36" s="1308" t="str">
        <f>IFERROR(IF(K36&gt;0,K36,(VLOOKUP('Cover Sheet'!$B$15,'Carbon factors'!$B$116:$E$361,4,0))),"")</f>
        <v/>
      </c>
      <c r="O36" s="826" t="str">
        <f t="shared" si="0"/>
        <v/>
      </c>
      <c r="P36" s="179" t="str" cm="1">
        <f t="array" ref="P36">IFERROR(_xlfn.IFS(L36="Y","Scope 2",L36="N","Scope 3",L36="Unknown","Manually Select Scope -&gt;"),"")</f>
        <v/>
      </c>
      <c r="Q36" s="1230"/>
      <c r="R36" s="1266" t="str">
        <f t="shared" si="1"/>
        <v/>
      </c>
      <c r="S36" s="1303" t="str">
        <f>IFERROR(IF(K36&gt;0,"User defined",(VLOOKUP('Cover Sheet'!$B$15,'Carbon factors'!$B$116:$E$361,3,0))),"")</f>
        <v/>
      </c>
      <c r="T36" s="1305"/>
      <c r="U36" s="1297"/>
      <c r="V36" s="183"/>
      <c r="W36" s="1296"/>
      <c r="Y36" s="7"/>
    </row>
    <row r="37" spans="1:25" x14ac:dyDescent="0.35">
      <c r="A37" s="1808"/>
      <c r="B37" s="824"/>
      <c r="C37" s="479" t="str">
        <f>Energy!$B$14&amp;"|"&amp;'Cover Sheet'!$B$15</f>
        <v>Electricity Supplied to:|</v>
      </c>
      <c r="D37" s="158" t="s">
        <v>563</v>
      </c>
      <c r="E37" s="574"/>
      <c r="F37" s="186"/>
      <c r="G37" s="664" t="str" cm="1">
        <f t="array" ref="G37">IFERROR((((_xlfn.IFS(F37=$AC$15,"3",F37=$AC$16,"2",F37=$AC$17,"1",F37=$AC$18,"1"))*(IF(K37="",0.8,1)))*E37),"")</f>
        <v/>
      </c>
      <c r="H37" s="166"/>
      <c r="I37" s="198"/>
      <c r="J37" s="183" t="str">
        <f>IFERROR(H37/VLOOKUP(I37,'$ Conversion'!$A$9:$B$40,2,0),"")</f>
        <v/>
      </c>
      <c r="K37" s="200"/>
      <c r="L37" s="819" t="str">
        <f>IFERROR(VLOOKUP(B37,Buildings!$B$9:$H$41,3,0),"")</f>
        <v/>
      </c>
      <c r="M37" s="449" t="str">
        <f>IFERROR(VLOOKUP(B37,Buildings!$B$9:$H$41,7,0),"")</f>
        <v/>
      </c>
      <c r="N37" s="1308" t="str">
        <f>IFERROR(IF(K37&gt;0,K37,(VLOOKUP('Cover Sheet'!$B$15,'Carbon factors'!$B$116:$E$361,4,0))),"")</f>
        <v/>
      </c>
      <c r="O37" s="826" t="str">
        <f t="shared" si="0"/>
        <v/>
      </c>
      <c r="P37" s="179" t="str" cm="1">
        <f t="array" ref="P37">IFERROR(_xlfn.IFS(L37="Y","Scope 2",L37="N","Scope 3",L37="Unknown","Manually Select Scope -&gt;"),"")</f>
        <v/>
      </c>
      <c r="Q37" s="1230"/>
      <c r="R37" s="1266" t="str">
        <f t="shared" si="1"/>
        <v/>
      </c>
      <c r="S37" s="1303" t="str">
        <f>IFERROR(IF(K37&gt;0,"User defined",(VLOOKUP('Cover Sheet'!$B$15,'Carbon factors'!$B$116:$E$361,3,0))),"")</f>
        <v/>
      </c>
      <c r="T37" s="1305"/>
      <c r="U37" s="1297"/>
      <c r="V37" s="183"/>
      <c r="W37" s="1296"/>
      <c r="Y37" s="7"/>
    </row>
    <row r="38" spans="1:25" x14ac:dyDescent="0.35">
      <c r="A38" s="1808"/>
      <c r="B38" s="824"/>
      <c r="C38" s="479" t="str">
        <f>Energy!$B$14&amp;"|"&amp;'Cover Sheet'!$B$15</f>
        <v>Electricity Supplied to:|</v>
      </c>
      <c r="D38" s="158" t="s">
        <v>563</v>
      </c>
      <c r="E38" s="574"/>
      <c r="F38" s="186"/>
      <c r="G38" s="664" t="str" cm="1">
        <f t="array" ref="G38">IFERROR((((_xlfn.IFS(F38=$AC$15,"3",F38=$AC$16,"2",F38=$AC$17,"1",F38=$AC$18,"1"))*(IF(K38="",0.8,1)))*E38),"")</f>
        <v/>
      </c>
      <c r="H38" s="166"/>
      <c r="I38" s="198"/>
      <c r="J38" s="183" t="str">
        <f>IFERROR(H38/VLOOKUP(I38,'$ Conversion'!$A$9:$B$40,2,0),"")</f>
        <v/>
      </c>
      <c r="K38" s="200"/>
      <c r="L38" s="819" t="str">
        <f>IFERROR(VLOOKUP(B38,Buildings!$B$9:$H$41,3,0),"")</f>
        <v/>
      </c>
      <c r="M38" s="449" t="str">
        <f>IFERROR(VLOOKUP(B38,Buildings!$B$9:$H$41,7,0),"")</f>
        <v/>
      </c>
      <c r="N38" s="1308" t="str">
        <f>IFERROR(IF(K38&gt;0,K38,(VLOOKUP('Cover Sheet'!$B$15,'Carbon factors'!$B$116:$E$361,4,0))),"")</f>
        <v/>
      </c>
      <c r="O38" s="826" t="str">
        <f t="shared" si="0"/>
        <v/>
      </c>
      <c r="P38" s="179" t="str" cm="1">
        <f t="array" ref="P38">IFERROR(_xlfn.IFS(L38="Y","Scope 2",L38="N","Scope 3",L38="Unknown","Manually Select Scope -&gt;"),"")</f>
        <v/>
      </c>
      <c r="Q38" s="1230"/>
      <c r="R38" s="1266" t="str">
        <f t="shared" si="1"/>
        <v/>
      </c>
      <c r="S38" s="1303" t="str">
        <f>IFERROR(IF(K38&gt;0,"User defined",(VLOOKUP('Cover Sheet'!$B$15,'Carbon factors'!$B$116:$E$361,3,0))),"")</f>
        <v/>
      </c>
      <c r="T38" s="1305"/>
      <c r="U38" s="1297"/>
      <c r="V38" s="183"/>
      <c r="W38" s="1296"/>
      <c r="Y38" s="7"/>
    </row>
    <row r="39" spans="1:25" x14ac:dyDescent="0.35">
      <c r="A39" s="1808"/>
      <c r="B39" s="824"/>
      <c r="C39" s="479" t="str">
        <f>Energy!$B$14&amp;"|"&amp;'Cover Sheet'!$B$15</f>
        <v>Electricity Supplied to:|</v>
      </c>
      <c r="D39" s="158" t="s">
        <v>563</v>
      </c>
      <c r="E39" s="574"/>
      <c r="F39" s="186"/>
      <c r="G39" s="664" t="str" cm="1">
        <f t="array" ref="G39">IFERROR((((_xlfn.IFS(F39=$AC$15,"3",F39=$AC$16,"2",F39=$AC$17,"1",F39=$AC$18,"1"))*(IF(K39="",0.8,1)))*E39),"")</f>
        <v/>
      </c>
      <c r="H39" s="166"/>
      <c r="I39" s="198"/>
      <c r="J39" s="183" t="str">
        <f>IFERROR(H39/VLOOKUP(I39,'$ Conversion'!$A$9:$B$40,2,0),"")</f>
        <v/>
      </c>
      <c r="K39" s="200"/>
      <c r="L39" s="819" t="str">
        <f>IFERROR(VLOOKUP(B39,Buildings!$B$9:$H$41,3,0),"")</f>
        <v/>
      </c>
      <c r="M39" s="449" t="str">
        <f>IFERROR(VLOOKUP(B39,Buildings!$B$9:$H$41,7,0),"")</f>
        <v/>
      </c>
      <c r="N39" s="1308" t="str">
        <f>IFERROR(IF(K39&gt;0,K39,(VLOOKUP('Cover Sheet'!$B$15,'Carbon factors'!$B$116:$E$361,4,0))),"")</f>
        <v/>
      </c>
      <c r="O39" s="826" t="str">
        <f t="shared" si="0"/>
        <v/>
      </c>
      <c r="P39" s="179" t="str" cm="1">
        <f t="array" ref="P39">IFERROR(_xlfn.IFS(L39="Y","Scope 2",L39="N","Scope 3",L39="Unknown","Manually Select Scope -&gt;"),"")</f>
        <v/>
      </c>
      <c r="Q39" s="1230"/>
      <c r="R39" s="1266" t="str">
        <f t="shared" si="1"/>
        <v/>
      </c>
      <c r="S39" s="1303" t="str">
        <f>IFERROR(IF(K39&gt;0,"User defined",(VLOOKUP('Cover Sheet'!$B$15,'Carbon factors'!$B$116:$E$361,3,0))),"")</f>
        <v/>
      </c>
      <c r="T39" s="1305"/>
      <c r="U39" s="1297"/>
      <c r="V39" s="183"/>
      <c r="W39" s="1296"/>
      <c r="Y39" s="7"/>
    </row>
    <row r="40" spans="1:25" x14ac:dyDescent="0.35">
      <c r="A40" s="1808"/>
      <c r="B40" s="824"/>
      <c r="C40" s="479" t="str">
        <f>Energy!$B$14&amp;"|"&amp;'Cover Sheet'!$B$15</f>
        <v>Electricity Supplied to:|</v>
      </c>
      <c r="D40" s="158" t="s">
        <v>563</v>
      </c>
      <c r="E40" s="574"/>
      <c r="F40" s="186"/>
      <c r="G40" s="664" t="str" cm="1">
        <f t="array" ref="G40">IFERROR((((_xlfn.IFS(F40=$AC$15,"3",F40=$AC$16,"2",F40=$AC$17,"1",F40=$AC$18,"1"))*(IF(K40="",0.8,1)))*E40),"")</f>
        <v/>
      </c>
      <c r="H40" s="166"/>
      <c r="I40" s="198"/>
      <c r="J40" s="183" t="str">
        <f>IFERROR(H40/VLOOKUP(I40,'$ Conversion'!$A$9:$B$40,2,0),"")</f>
        <v/>
      </c>
      <c r="K40" s="200"/>
      <c r="L40" s="819" t="str">
        <f>IFERROR(VLOOKUP(B40,Buildings!$B$9:$H$41,3,0),"")</f>
        <v/>
      </c>
      <c r="M40" s="449" t="str">
        <f>IFERROR(VLOOKUP(B40,Buildings!$B$9:$H$41,7,0),"")</f>
        <v/>
      </c>
      <c r="N40" s="1308" t="str">
        <f>IFERROR(IF(K40&gt;0,K40,(VLOOKUP('Cover Sheet'!$B$15,'Carbon factors'!$B$116:$E$361,4,0))),"")</f>
        <v/>
      </c>
      <c r="O40" s="826" t="str">
        <f t="shared" si="0"/>
        <v/>
      </c>
      <c r="P40" s="179" t="str" cm="1">
        <f t="array" ref="P40">IFERROR(_xlfn.IFS(L40="Y","Scope 2",L40="N","Scope 3",L40="Unknown","Manually Select Scope -&gt;"),"")</f>
        <v/>
      </c>
      <c r="Q40" s="1230"/>
      <c r="R40" s="1266" t="str">
        <f t="shared" si="1"/>
        <v/>
      </c>
      <c r="S40" s="1303" t="str">
        <f>IFERROR(IF(K40&gt;0,"User defined",(VLOOKUP('Cover Sheet'!$B$15,'Carbon factors'!$B$116:$E$361,3,0))),"")</f>
        <v/>
      </c>
      <c r="T40" s="1305"/>
      <c r="U40" s="1297"/>
      <c r="V40" s="183"/>
      <c r="W40" s="1296"/>
      <c r="Y40" s="7"/>
    </row>
    <row r="41" spans="1:25" x14ac:dyDescent="0.35">
      <c r="A41" s="1808"/>
      <c r="B41" s="824"/>
      <c r="C41" s="479" t="str">
        <f>Energy!$B$14&amp;"|"&amp;'Cover Sheet'!$B$15</f>
        <v>Electricity Supplied to:|</v>
      </c>
      <c r="D41" s="158" t="s">
        <v>563</v>
      </c>
      <c r="E41" s="574"/>
      <c r="F41" s="186"/>
      <c r="G41" s="664" t="str" cm="1">
        <f t="array" ref="G41">IFERROR((((_xlfn.IFS(F41=$AC$15,"3",F41=$AC$16,"2",F41=$AC$17,"1",F41=$AC$18,"1"))*(IF(K41="",0.8,1)))*E41),"")</f>
        <v/>
      </c>
      <c r="H41" s="166"/>
      <c r="I41" s="198"/>
      <c r="J41" s="183" t="str">
        <f>IFERROR(H41/VLOOKUP(I41,'$ Conversion'!$A$9:$B$40,2,0),"")</f>
        <v/>
      </c>
      <c r="K41" s="200"/>
      <c r="L41" s="819" t="str">
        <f>IFERROR(VLOOKUP(B41,Buildings!$B$9:$H$41,3,0),"")</f>
        <v/>
      </c>
      <c r="M41" s="449" t="str">
        <f>IFERROR(VLOOKUP(B41,Buildings!$B$9:$H$41,7,0),"")</f>
        <v/>
      </c>
      <c r="N41" s="1308" t="str">
        <f>IFERROR(IF(K41&gt;0,K41,(VLOOKUP('Cover Sheet'!$B$15,'Carbon factors'!$B$116:$E$361,4,0))),"")</f>
        <v/>
      </c>
      <c r="O41" s="826" t="str">
        <f t="shared" si="0"/>
        <v/>
      </c>
      <c r="P41" s="179" t="str" cm="1">
        <f t="array" ref="P41">IFERROR(_xlfn.IFS(L41="Y","Scope 2",L41="N","Scope 3",L41="Unknown","Manually Select Scope -&gt;"),"")</f>
        <v/>
      </c>
      <c r="Q41" s="1230"/>
      <c r="R41" s="1266" t="str">
        <f t="shared" si="1"/>
        <v/>
      </c>
      <c r="S41" s="1303" t="str">
        <f>IFERROR(IF(K41&gt;0,"User defined",(VLOOKUP('Cover Sheet'!$B$15,'Carbon factors'!$B$116:$E$361,3,0))),"")</f>
        <v/>
      </c>
      <c r="T41" s="1305"/>
      <c r="U41" s="1297"/>
      <c r="V41" s="183"/>
      <c r="W41" s="1296"/>
      <c r="Y41" s="7"/>
    </row>
    <row r="42" spans="1:25" x14ac:dyDescent="0.35">
      <c r="A42" s="1808"/>
      <c r="B42" s="824"/>
      <c r="C42" s="479" t="str">
        <f>Energy!$B$14&amp;"|"&amp;'Cover Sheet'!$B$15</f>
        <v>Electricity Supplied to:|</v>
      </c>
      <c r="D42" s="158" t="s">
        <v>563</v>
      </c>
      <c r="E42" s="574"/>
      <c r="F42" s="186"/>
      <c r="G42" s="664" t="str" cm="1">
        <f t="array" ref="G42">IFERROR((((_xlfn.IFS(F42=$AC$15,"3",F42=$AC$16,"2",F42=$AC$17,"1",F42=$AC$18,"1"))*(IF(K42="",0.8,1)))*E42),"")</f>
        <v/>
      </c>
      <c r="H42" s="166"/>
      <c r="I42" s="198"/>
      <c r="J42" s="183" t="str">
        <f>IFERROR(H42/VLOOKUP(I42,'$ Conversion'!$A$9:$B$40,2,0),"")</f>
        <v/>
      </c>
      <c r="K42" s="200"/>
      <c r="L42" s="819" t="str">
        <f>IFERROR(VLOOKUP(B42,Buildings!$B$9:$H$41,3,0),"")</f>
        <v/>
      </c>
      <c r="M42" s="449" t="str">
        <f>IFERROR(VLOOKUP(B42,Buildings!$B$9:$H$41,7,0),"")</f>
        <v/>
      </c>
      <c r="N42" s="1308" t="str">
        <f>IFERROR(IF(K42&gt;0,K42,(VLOOKUP('Cover Sheet'!$B$15,'Carbon factors'!$B$116:$E$361,4,0))),"")</f>
        <v/>
      </c>
      <c r="O42" s="826" t="str">
        <f t="shared" si="0"/>
        <v/>
      </c>
      <c r="P42" s="179" t="str" cm="1">
        <f t="array" ref="P42">IFERROR(_xlfn.IFS(L42="Y","Scope 2",L42="N","Scope 3",L42="Unknown","Manually Select Scope -&gt;"),"")</f>
        <v/>
      </c>
      <c r="Q42" s="1230"/>
      <c r="R42" s="1266" t="str">
        <f t="shared" si="1"/>
        <v/>
      </c>
      <c r="S42" s="1303" t="str">
        <f>IFERROR(IF(K42&gt;0,"User defined",(VLOOKUP('Cover Sheet'!$B$15,'Carbon factors'!$B$116:$E$361,3,0))),"")</f>
        <v/>
      </c>
      <c r="T42" s="1305"/>
      <c r="U42" s="1297"/>
      <c r="V42" s="183"/>
      <c r="W42" s="1296"/>
      <c r="Y42" s="7"/>
    </row>
    <row r="43" spans="1:25" x14ac:dyDescent="0.35">
      <c r="A43" s="1808"/>
      <c r="B43" s="824"/>
      <c r="C43" s="479" t="str">
        <f>Energy!$B$14&amp;"|"&amp;'Cover Sheet'!$B$15</f>
        <v>Electricity Supplied to:|</v>
      </c>
      <c r="D43" s="158" t="s">
        <v>563</v>
      </c>
      <c r="E43" s="574"/>
      <c r="F43" s="186"/>
      <c r="G43" s="664" t="str" cm="1">
        <f t="array" ref="G43">IFERROR((((_xlfn.IFS(F43=$AC$15,"3",F43=$AC$16,"2",F43=$AC$17,"1",F43=$AC$18,"1"))*(IF(K43="",0.8,1)))*E43),"")</f>
        <v/>
      </c>
      <c r="H43" s="166"/>
      <c r="I43" s="198"/>
      <c r="J43" s="183" t="str">
        <f>IFERROR(H43/VLOOKUP(I43,'$ Conversion'!$A$9:$B$40,2,0),"")</f>
        <v/>
      </c>
      <c r="K43" s="200"/>
      <c r="L43" s="819" t="str">
        <f>IFERROR(VLOOKUP(B43,Buildings!$B$9:$H$41,3,0),"")</f>
        <v/>
      </c>
      <c r="M43" s="449" t="str">
        <f>IFERROR(VLOOKUP(B43,Buildings!$B$9:$H$41,7,0),"")</f>
        <v/>
      </c>
      <c r="N43" s="1308" t="str">
        <f>IFERROR(IF(K43&gt;0,K43,(VLOOKUP('Cover Sheet'!$B$15,'Carbon factors'!$B$116:$E$361,4,0))),"")</f>
        <v/>
      </c>
      <c r="O43" s="826" t="str">
        <f t="shared" si="0"/>
        <v/>
      </c>
      <c r="P43" s="179" t="str" cm="1">
        <f t="array" ref="P43">IFERROR(_xlfn.IFS(L43="Y","Scope 2",L43="N","Scope 3",L43="Unknown","Manually Select Scope -&gt;"),"")</f>
        <v/>
      </c>
      <c r="Q43" s="1230"/>
      <c r="R43" s="1266" t="str">
        <f t="shared" si="1"/>
        <v/>
      </c>
      <c r="S43" s="1303" t="str">
        <f>IFERROR(IF(K43&gt;0,"User defined",(VLOOKUP('Cover Sheet'!$B$15,'Carbon factors'!$B$116:$E$361,3,0))),"")</f>
        <v/>
      </c>
      <c r="T43" s="1305"/>
      <c r="U43" s="1297"/>
      <c r="V43" s="183"/>
      <c r="W43" s="1296"/>
      <c r="Y43" s="7"/>
    </row>
    <row r="44" spans="1:25" x14ac:dyDescent="0.35">
      <c r="A44" s="1808"/>
      <c r="B44" s="824"/>
      <c r="C44" s="479" t="str">
        <f>Energy!$B$14&amp;"|"&amp;'Cover Sheet'!$B$15</f>
        <v>Electricity Supplied to:|</v>
      </c>
      <c r="D44" s="158" t="s">
        <v>563</v>
      </c>
      <c r="E44" s="574"/>
      <c r="F44" s="186"/>
      <c r="G44" s="664" t="str" cm="1">
        <f t="array" ref="G44">IFERROR((((_xlfn.IFS(F44=$AC$15,"3",F44=$AC$16,"2",F44=$AC$17,"1",F44=$AC$18,"1"))*(IF(K44="",0.8,1)))*E44),"")</f>
        <v/>
      </c>
      <c r="H44" s="166"/>
      <c r="I44" s="198"/>
      <c r="J44" s="183" t="str">
        <f>IFERROR(H44/VLOOKUP(I44,'$ Conversion'!$A$9:$B$40,2,0),"")</f>
        <v/>
      </c>
      <c r="K44" s="200"/>
      <c r="L44" s="819" t="str">
        <f>IFERROR(VLOOKUP(B44,Buildings!$B$9:$H$41,3,0),"")</f>
        <v/>
      </c>
      <c r="M44" s="449" t="str">
        <f>IFERROR(VLOOKUP(B44,Buildings!$B$9:$H$41,7,0),"")</f>
        <v/>
      </c>
      <c r="N44" s="1308" t="str">
        <f>IFERROR(IF(K44&gt;0,K44,(VLOOKUP('Cover Sheet'!$B$15,'Carbon factors'!$B$116:$E$361,4,0))),"")</f>
        <v/>
      </c>
      <c r="O44" s="826" t="str">
        <f t="shared" si="0"/>
        <v/>
      </c>
      <c r="P44" s="179" t="str" cm="1">
        <f t="array" ref="P44">IFERROR(_xlfn.IFS(L44="Y","Scope 2",L44="N","Scope 3",L44="Unknown","Manually Select Scope -&gt;"),"")</f>
        <v/>
      </c>
      <c r="Q44" s="1230"/>
      <c r="R44" s="1266" t="str">
        <f t="shared" si="1"/>
        <v/>
      </c>
      <c r="S44" s="1303" t="str">
        <f>IFERROR(IF(K44&gt;0,"User defined",(VLOOKUP('Cover Sheet'!$B$15,'Carbon factors'!$B$116:$E$361,3,0))),"")</f>
        <v/>
      </c>
      <c r="T44" s="1305"/>
      <c r="U44" s="1297"/>
      <c r="V44" s="183"/>
      <c r="W44" s="1296"/>
      <c r="Y44" s="7"/>
    </row>
    <row r="45" spans="1:25" x14ac:dyDescent="0.35">
      <c r="A45" s="1808"/>
      <c r="B45" s="824"/>
      <c r="C45" s="479" t="str">
        <f>Energy!$B$14&amp;"|"&amp;'Cover Sheet'!$B$15</f>
        <v>Electricity Supplied to:|</v>
      </c>
      <c r="D45" s="158" t="s">
        <v>563</v>
      </c>
      <c r="E45" s="574"/>
      <c r="F45" s="186"/>
      <c r="G45" s="664" t="str" cm="1">
        <f t="array" ref="G45">IFERROR((((_xlfn.IFS(F45=$AC$15,"3",F45=$AC$16,"2",F45=$AC$17,"1",F45=$AC$18,"1"))*(IF(K45="",0.8,1)))*E45),"")</f>
        <v/>
      </c>
      <c r="H45" s="166"/>
      <c r="I45" s="198"/>
      <c r="J45" s="183" t="str">
        <f>IFERROR(H45/VLOOKUP(I45,'$ Conversion'!$A$9:$B$40,2,0),"")</f>
        <v/>
      </c>
      <c r="K45" s="200"/>
      <c r="L45" s="819" t="str">
        <f>IFERROR(VLOOKUP(B45,Buildings!$B$9:$H$41,3,0),"")</f>
        <v/>
      </c>
      <c r="M45" s="449" t="str">
        <f>IFERROR(VLOOKUP(B45,Buildings!$B$9:$H$41,7,0),"")</f>
        <v/>
      </c>
      <c r="N45" s="1308" t="str">
        <f>IFERROR(IF(K45&gt;0,K45,(VLOOKUP('Cover Sheet'!$B$15,'Carbon factors'!$B$116:$E$361,4,0))),"")</f>
        <v/>
      </c>
      <c r="O45" s="826" t="str">
        <f t="shared" si="0"/>
        <v/>
      </c>
      <c r="P45" s="179" t="str" cm="1">
        <f t="array" ref="P45">IFERROR(_xlfn.IFS(L45="Y","Scope 2",L45="N","Scope 3",L45="Unknown","Manually Select Scope -&gt;"),"")</f>
        <v/>
      </c>
      <c r="Q45" s="1230"/>
      <c r="R45" s="1266" t="str">
        <f t="shared" si="1"/>
        <v/>
      </c>
      <c r="S45" s="1303" t="str">
        <f>IFERROR(IF(K45&gt;0,"User defined",(VLOOKUP('Cover Sheet'!$B$15,'Carbon factors'!$B$116:$E$361,3,0))),"")</f>
        <v/>
      </c>
      <c r="T45" s="1305"/>
      <c r="U45" s="1297"/>
      <c r="V45" s="183"/>
      <c r="W45" s="1296"/>
      <c r="Y45" s="7"/>
    </row>
    <row r="46" spans="1:25" ht="15" thickBot="1" x14ac:dyDescent="0.4">
      <c r="A46" s="1809"/>
      <c r="B46" s="824"/>
      <c r="C46" s="479" t="str">
        <f>Energy!$B$14&amp;"|"&amp;'Cover Sheet'!$B$15</f>
        <v>Electricity Supplied to:|</v>
      </c>
      <c r="D46" s="158" t="s">
        <v>563</v>
      </c>
      <c r="E46" s="574"/>
      <c r="F46" s="186"/>
      <c r="G46" s="664" t="str" cm="1">
        <f t="array" ref="G46">IFERROR((((_xlfn.IFS(F46=$AC$15,"3",F46=$AC$16,"2",F46=$AC$17,"1",F46=$AC$18,"1"))*(IF(K46="",0.8,1)))*E46),"")</f>
        <v/>
      </c>
      <c r="H46" s="166"/>
      <c r="I46" s="198"/>
      <c r="J46" s="202" t="str">
        <f>IFERROR(H46/VLOOKUP(I46,'$ Conversion'!$A$9:$B$40,2,0),"")</f>
        <v/>
      </c>
      <c r="K46" s="201"/>
      <c r="L46" s="819" t="str">
        <f>IFERROR(VLOOKUP(B46,Buildings!$B$9:$H$41,3,0),"")</f>
        <v/>
      </c>
      <c r="M46" s="449" t="str">
        <f>IFERROR(VLOOKUP(B46,Buildings!$B$9:$H$41,7,0),"")</f>
        <v/>
      </c>
      <c r="N46" s="1308" t="str">
        <f>IFERROR(IF(K46&gt;0,K46,(VLOOKUP('Cover Sheet'!$B$15,'Carbon factors'!$B$116:$E$361,4,0))),"")</f>
        <v/>
      </c>
      <c r="O46" s="826" t="str">
        <f t="shared" si="0"/>
        <v/>
      </c>
      <c r="P46" s="180" t="str" cm="1">
        <f t="array" ref="P46">IFERROR(_xlfn.IFS(L46="Y","Scope 2",L46="N","Scope 3",L46="Unknown","Manually Select Scope -&gt;"),"")</f>
        <v/>
      </c>
      <c r="Q46" s="967"/>
      <c r="R46" s="1267" t="str">
        <f t="shared" si="1"/>
        <v/>
      </c>
      <c r="S46" s="1304" t="str">
        <f>IFERROR(IF(K46&gt;0,"User defined",(VLOOKUP('Cover Sheet'!$B$15,'Carbon factors'!$B$116:$E$361,3,0))),"")</f>
        <v/>
      </c>
      <c r="T46" s="1305"/>
      <c r="U46" s="1297"/>
      <c r="V46" s="183"/>
      <c r="W46" s="1296"/>
      <c r="Y46" s="7"/>
    </row>
    <row r="47" spans="1:25" ht="102" customHeight="1" thickBot="1" x14ac:dyDescent="0.4">
      <c r="A47" s="821" t="s">
        <v>604</v>
      </c>
      <c r="B47" s="827" t="s">
        <v>605</v>
      </c>
      <c r="C47" s="475" t="s">
        <v>532</v>
      </c>
      <c r="D47" s="172" t="s">
        <v>533</v>
      </c>
      <c r="E47" s="171" t="s">
        <v>606</v>
      </c>
      <c r="F47" s="171" t="s">
        <v>535</v>
      </c>
      <c r="G47" s="661" t="s">
        <v>536</v>
      </c>
      <c r="H47" s="171" t="s">
        <v>607</v>
      </c>
      <c r="I47" s="171" t="s">
        <v>608</v>
      </c>
      <c r="J47" s="171" t="s">
        <v>609</v>
      </c>
      <c r="K47" s="247" t="s">
        <v>539</v>
      </c>
      <c r="L47" s="171" t="str">
        <f>IFERROR(VLOOKUP(B47,Buildings!$B$9:$H$41,3,0),"")</f>
        <v/>
      </c>
      <c r="M47" s="247" t="str">
        <f>IFERROR(VLOOKUP(B47,Buildings!$B$9:$H$41,6,0),"")</f>
        <v/>
      </c>
      <c r="N47" s="233" t="s">
        <v>542</v>
      </c>
      <c r="O47" s="849" t="str">
        <f t="shared" si="0"/>
        <v/>
      </c>
      <c r="P47" s="917" t="s">
        <v>544</v>
      </c>
      <c r="Q47" s="1231" t="s">
        <v>545</v>
      </c>
      <c r="R47" s="848" t="s">
        <v>610</v>
      </c>
      <c r="S47" s="1300" t="s">
        <v>547</v>
      </c>
      <c r="T47" s="1306"/>
      <c r="U47" s="1447" t="s">
        <v>178</v>
      </c>
      <c r="V47" s="1448" t="s">
        <v>179</v>
      </c>
      <c r="W47" s="1449" t="s">
        <v>180</v>
      </c>
      <c r="Y47" s="7"/>
    </row>
    <row r="48" spans="1:25" ht="107.25" customHeight="1" thickBot="1" x14ac:dyDescent="0.4">
      <c r="A48" s="1807" t="s">
        <v>611</v>
      </c>
      <c r="B48" s="828" t="s">
        <v>554</v>
      </c>
      <c r="C48" s="477" t="s">
        <v>555</v>
      </c>
      <c r="D48" s="191" t="s">
        <v>555</v>
      </c>
      <c r="E48" s="192" t="s">
        <v>612</v>
      </c>
      <c r="F48" s="191" t="s">
        <v>329</v>
      </c>
      <c r="G48" s="662"/>
      <c r="H48" s="191" t="s">
        <v>329</v>
      </c>
      <c r="I48" s="191" t="s">
        <v>612</v>
      </c>
      <c r="J48" s="191" t="s">
        <v>612</v>
      </c>
      <c r="K48" s="474" t="s">
        <v>613</v>
      </c>
      <c r="L48" s="191" t="str">
        <f>IFERROR(VLOOKUP(B48,Buildings!$B$9:$H$41,3,0),"")</f>
        <v/>
      </c>
      <c r="M48" s="474" t="str">
        <f>IFERROR(VLOOKUP(B48,Buildings!$B$9:$H$41,6,0),"")</f>
        <v/>
      </c>
      <c r="N48" s="1176" t="s">
        <v>614</v>
      </c>
      <c r="O48" s="662" t="s">
        <v>615</v>
      </c>
      <c r="P48" s="191" t="s">
        <v>561</v>
      </c>
      <c r="Q48" s="1232" t="s">
        <v>562</v>
      </c>
      <c r="R48" s="677" t="s">
        <v>556</v>
      </c>
      <c r="S48" s="1301"/>
      <c r="T48" s="1305"/>
      <c r="U48" s="1450" t="s">
        <v>202</v>
      </c>
      <c r="V48" s="1451" t="s">
        <v>202</v>
      </c>
      <c r="W48" s="1452" t="s">
        <v>202</v>
      </c>
      <c r="Y48" s="7"/>
    </row>
    <row r="49" spans="1:29" x14ac:dyDescent="0.35">
      <c r="A49" s="1808"/>
      <c r="B49" s="824" t="s">
        <v>2593</v>
      </c>
      <c r="C49" s="479" t="s">
        <v>616</v>
      </c>
      <c r="D49" s="163" t="s">
        <v>563</v>
      </c>
      <c r="E49" s="574">
        <v>600</v>
      </c>
      <c r="F49" s="198" t="s">
        <v>585</v>
      </c>
      <c r="G49" s="663" cm="1">
        <f t="array" ref="G49">IFERROR((((_xlfn.IFS(F49=$AC$15,"3",F49=$AC$16,"2",F49=$AC$17,"1",F49=$AC$18,"1"))*(IF(K49="",0.8,1)))*E49),"")</f>
        <v>480</v>
      </c>
      <c r="H49" s="166" t="s">
        <v>568</v>
      </c>
      <c r="I49" s="1184"/>
      <c r="J49" s="531"/>
      <c r="K49" s="1490"/>
      <c r="L49" s="819" t="str">
        <f>IFERROR(VLOOKUP(B49,Buildings!$B$9:$H$41,3,0),"")</f>
        <v>y</v>
      </c>
      <c r="M49" s="449" t="str">
        <f>IFERROR(VLOOKUP(B49,Buildings!$B$9:$H$41,7,0),"")</f>
        <v>Y</v>
      </c>
      <c r="N49" s="1308" t="str">
        <f>IFERROR(IF(K49&gt;0,K49,(VLOOKUP('Cover Sheet'!$B$15,'Carbon factors'!$B$116:$E$361,4,0))),"")</f>
        <v/>
      </c>
      <c r="O49" s="656" t="str">
        <f t="shared" ref="O49:O78" si="2">IFERROR((N49*E49),"")</f>
        <v/>
      </c>
      <c r="P49" s="179" t="s">
        <v>617</v>
      </c>
      <c r="Q49" s="1229"/>
      <c r="R49" s="673" t="str">
        <f t="shared" ref="R49:R78" si="3">IFERROR((E49*(AVERAGE($J$16:$J$46))),"")</f>
        <v/>
      </c>
      <c r="S49" s="1302" t="str">
        <f>IFERROR(IF(K49&gt;0,"User defined",(VLOOKUP('Cover Sheet'!$B$15,'Carbon factors'!$B$116:$E$361,3,0))),"")</f>
        <v/>
      </c>
      <c r="T49" s="1305"/>
      <c r="U49" s="1297"/>
      <c r="V49" s="183"/>
      <c r="W49" s="1296"/>
    </row>
    <row r="50" spans="1:29" x14ac:dyDescent="0.35">
      <c r="A50" s="1808"/>
      <c r="B50" s="824"/>
      <c r="C50" s="479" t="s">
        <v>616</v>
      </c>
      <c r="D50" s="158" t="s">
        <v>563</v>
      </c>
      <c r="E50" s="574"/>
      <c r="F50" s="186"/>
      <c r="G50" s="664" t="str" cm="1">
        <f t="array" ref="G50">IFERROR((((_xlfn.IFS(F50=$AC$15,"3",F50=$AC$16,"2",F50=$AC$17,"1",F50=$AC$18,"1"))*(IF(K50="",0.8,1)))*E50),"")</f>
        <v/>
      </c>
      <c r="H50" s="168"/>
      <c r="I50" s="1184"/>
      <c r="J50" s="531"/>
      <c r="K50" s="200"/>
      <c r="L50" s="819" t="str">
        <f>IFERROR(VLOOKUP(B50,Buildings!$B$9:$H$41,3,0),"")</f>
        <v/>
      </c>
      <c r="M50" s="449" t="str">
        <f>IFERROR(VLOOKUP(B50,Buildings!$B$9:$H$41,7,0),"")</f>
        <v/>
      </c>
      <c r="N50" s="1308" t="str">
        <f>IFERROR(IF(K50&gt;0,K50,(VLOOKUP('Cover Sheet'!$B$15,'Carbon factors'!$B$116:$E$361,4,0))),"")</f>
        <v/>
      </c>
      <c r="O50" s="656" t="str">
        <f t="shared" si="2"/>
        <v/>
      </c>
      <c r="P50" s="179" t="s">
        <v>617</v>
      </c>
      <c r="Q50" s="1230"/>
      <c r="R50" s="674" t="str">
        <f t="shared" si="3"/>
        <v/>
      </c>
      <c r="S50" s="1303" t="str">
        <f>IFERROR(IF(K50&gt;0,"User defined",(VLOOKUP('Cover Sheet'!$B$15,'Carbon factors'!$B$116:$E$361,3,0))),"")</f>
        <v/>
      </c>
      <c r="T50" s="1305"/>
      <c r="U50" s="1297"/>
      <c r="V50" s="183"/>
      <c r="W50" s="1296"/>
    </row>
    <row r="51" spans="1:29" x14ac:dyDescent="0.35">
      <c r="A51" s="1808"/>
      <c r="B51" s="824"/>
      <c r="C51" s="479" t="s">
        <v>616</v>
      </c>
      <c r="D51" s="158" t="s">
        <v>563</v>
      </c>
      <c r="E51" s="574"/>
      <c r="F51" s="198"/>
      <c r="G51" s="664" t="str" cm="1">
        <f t="array" ref="G51">IFERROR((((_xlfn.IFS(F51=$AC$15,"3",F51=$AC$16,"2",F51=$AC$17,"1",F51=$AC$18,"1"))*(IF(K51="",0.8,1)))*E51),"")</f>
        <v/>
      </c>
      <c r="H51" s="166"/>
      <c r="I51" s="1184"/>
      <c r="J51" s="531"/>
      <c r="K51" s="200"/>
      <c r="L51" s="819" t="str">
        <f>IFERROR(VLOOKUP(B51,Buildings!$B$9:$H$41,3,0),"")</f>
        <v/>
      </c>
      <c r="M51" s="449" t="str">
        <f>IFERROR(VLOOKUP(B51,Buildings!$B$9:$H$41,7,0),"")</f>
        <v/>
      </c>
      <c r="N51" s="1308" t="str">
        <f>IFERROR(IF(K51&gt;0,K51,(VLOOKUP('Cover Sheet'!$B$15,'Carbon factors'!$B$116:$E$361,4,0))),"")</f>
        <v/>
      </c>
      <c r="O51" s="656" t="str">
        <f t="shared" si="2"/>
        <v/>
      </c>
      <c r="P51" s="179" t="s">
        <v>617</v>
      </c>
      <c r="Q51" s="1230"/>
      <c r="R51" s="674" t="str">
        <f t="shared" si="3"/>
        <v/>
      </c>
      <c r="S51" s="1303" t="str">
        <f>IFERROR(IF(K51&gt;0,"User defined",(VLOOKUP('Cover Sheet'!$B$15,'Carbon factors'!$B$116:$E$361,3,0))),"")</f>
        <v/>
      </c>
      <c r="T51" s="1305"/>
      <c r="U51" s="1297"/>
      <c r="V51" s="183"/>
      <c r="W51" s="1296"/>
    </row>
    <row r="52" spans="1:29" x14ac:dyDescent="0.35">
      <c r="A52" s="1808"/>
      <c r="B52" s="824"/>
      <c r="C52" s="479" t="s">
        <v>616</v>
      </c>
      <c r="D52" s="158" t="s">
        <v>563</v>
      </c>
      <c r="E52" s="574"/>
      <c r="F52" s="186"/>
      <c r="G52" s="664" t="str" cm="1">
        <f t="array" ref="G52">IFERROR((((_xlfn.IFS(F52=$AC$15,"3",F52=$AC$16,"2",F52=$AC$17,"1",F52=$AC$18,"1"))*(IF(K52="",0.8,1)))*E52),"")</f>
        <v/>
      </c>
      <c r="H52" s="168"/>
      <c r="I52" s="1184"/>
      <c r="J52" s="531"/>
      <c r="K52" s="200"/>
      <c r="L52" s="819" t="str">
        <f>IFERROR(VLOOKUP(B52,Buildings!$B$9:$H$41,3,0),"")</f>
        <v/>
      </c>
      <c r="M52" s="449" t="str">
        <f>IFERROR(VLOOKUP(B52,Buildings!$B$9:$H$41,7,0),"")</f>
        <v/>
      </c>
      <c r="N52" s="1308" t="str">
        <f>IFERROR(IF(K52&gt;0,K52,(VLOOKUP('Cover Sheet'!$B$15,'Carbon factors'!$B$116:$E$361,4,0))),"")</f>
        <v/>
      </c>
      <c r="O52" s="656" t="str">
        <f t="shared" si="2"/>
        <v/>
      </c>
      <c r="P52" s="179" t="s">
        <v>617</v>
      </c>
      <c r="Q52" s="1230"/>
      <c r="R52" s="674" t="str">
        <f t="shared" si="3"/>
        <v/>
      </c>
      <c r="S52" s="1303" t="str">
        <f>IFERROR(IF(K52&gt;0,"User defined",(VLOOKUP('Cover Sheet'!$B$15,'Carbon factors'!$B$116:$E$361,3,0))),"")</f>
        <v/>
      </c>
      <c r="T52" s="1305"/>
      <c r="U52" s="1297"/>
      <c r="V52" s="183"/>
      <c r="W52" s="1296"/>
    </row>
    <row r="53" spans="1:29" x14ac:dyDescent="0.35">
      <c r="A53" s="1808"/>
      <c r="B53" s="824"/>
      <c r="C53" s="479" t="s">
        <v>616</v>
      </c>
      <c r="D53" s="158" t="s">
        <v>563</v>
      </c>
      <c r="E53" s="574"/>
      <c r="F53" s="198"/>
      <c r="G53" s="664" t="str" cm="1">
        <f t="array" ref="G53">IFERROR((((_xlfn.IFS(F53=$AC$15,"3",F53=$AC$16,"2",F53=$AC$17,"1",F53=$AC$18,"1"))*(IF(K53="",0.8,1)))*E53),"")</f>
        <v/>
      </c>
      <c r="H53" s="166"/>
      <c r="I53" s="1184"/>
      <c r="J53" s="531"/>
      <c r="K53" s="200"/>
      <c r="L53" s="819" t="str">
        <f>IFERROR(VLOOKUP(B53,Buildings!$B$9:$H$41,3,0),"")</f>
        <v/>
      </c>
      <c r="M53" s="449" t="str">
        <f>IFERROR(VLOOKUP(B53,Buildings!$B$9:$H$41,7,0),"")</f>
        <v/>
      </c>
      <c r="N53" s="1308" t="str">
        <f>IFERROR(IF(K53&gt;0,K53,(VLOOKUP('Cover Sheet'!$B$15,'Carbon factors'!$B$116:$E$361,4,0))),"")</f>
        <v/>
      </c>
      <c r="O53" s="656" t="str">
        <f t="shared" si="2"/>
        <v/>
      </c>
      <c r="P53" s="179" t="s">
        <v>617</v>
      </c>
      <c r="Q53" s="1230"/>
      <c r="R53" s="674" t="str">
        <f t="shared" si="3"/>
        <v/>
      </c>
      <c r="S53" s="1303" t="str">
        <f>IFERROR(IF(K53&gt;0,"User defined",(VLOOKUP('Cover Sheet'!$B$15,'Carbon factors'!$B$116:$E$361,3,0))),"")</f>
        <v/>
      </c>
      <c r="T53" s="1305"/>
      <c r="U53" s="1297"/>
      <c r="V53" s="183"/>
      <c r="W53" s="1296"/>
    </row>
    <row r="54" spans="1:29" x14ac:dyDescent="0.35">
      <c r="A54" s="1808"/>
      <c r="B54" s="824"/>
      <c r="C54" s="479" t="s">
        <v>616</v>
      </c>
      <c r="D54" s="158" t="s">
        <v>563</v>
      </c>
      <c r="E54" s="574"/>
      <c r="F54" s="186"/>
      <c r="G54" s="664" t="str" cm="1">
        <f t="array" ref="G54">IFERROR((((_xlfn.IFS(F54=$AC$15,"3",F54=$AC$16,"2",F54=$AC$17,"1",F54=$AC$18,"1"))*(IF(K54="",0.8,1)))*E54),"")</f>
        <v/>
      </c>
      <c r="H54" s="168"/>
      <c r="I54" s="1184"/>
      <c r="J54" s="531"/>
      <c r="K54" s="200"/>
      <c r="L54" s="819" t="str">
        <f>IFERROR(VLOOKUP(B54,Buildings!$B$9:$H$41,3,0),"")</f>
        <v/>
      </c>
      <c r="M54" s="449" t="str">
        <f>IFERROR(VLOOKUP(B54,Buildings!$B$9:$H$41,7,0),"")</f>
        <v/>
      </c>
      <c r="N54" s="1308" t="str">
        <f>IFERROR(IF(K54&gt;0,K54,(VLOOKUP('Cover Sheet'!$B$15,'Carbon factors'!$B$116:$E$361,4,0))),"")</f>
        <v/>
      </c>
      <c r="O54" s="656" t="str">
        <f t="shared" si="2"/>
        <v/>
      </c>
      <c r="P54" s="179" t="s">
        <v>617</v>
      </c>
      <c r="Q54" s="1230"/>
      <c r="R54" s="674" t="str">
        <f t="shared" si="3"/>
        <v/>
      </c>
      <c r="S54" s="1303" t="str">
        <f>IFERROR(IF(K54&gt;0,"User defined",(VLOOKUP('Cover Sheet'!$B$15,'Carbon factors'!$B$116:$E$361,3,0))),"")</f>
        <v/>
      </c>
      <c r="T54" s="1305"/>
      <c r="U54" s="1297"/>
      <c r="V54" s="183"/>
      <c r="W54" s="1296"/>
    </row>
    <row r="55" spans="1:29" x14ac:dyDescent="0.35">
      <c r="A55" s="1808"/>
      <c r="B55" s="824"/>
      <c r="C55" s="479" t="s">
        <v>616</v>
      </c>
      <c r="D55" s="158" t="s">
        <v>563</v>
      </c>
      <c r="E55" s="574"/>
      <c r="F55" s="198"/>
      <c r="G55" s="664" t="str" cm="1">
        <f t="array" ref="G55">IFERROR((((_xlfn.IFS(F55=$AC$15,"3",F55=$AC$16,"2",F55=$AC$17,"1",F55=$AC$18,"1"))*(IF(K55="",0.8,1)))*E55),"")</f>
        <v/>
      </c>
      <c r="H55" s="166"/>
      <c r="I55" s="1184"/>
      <c r="J55" s="531"/>
      <c r="K55" s="200"/>
      <c r="L55" s="819" t="str">
        <f>IFERROR(VLOOKUP(B55,Buildings!$B$9:$H$41,3,0),"")</f>
        <v/>
      </c>
      <c r="M55" s="449" t="str">
        <f>IFERROR(VLOOKUP(B55,Buildings!$B$9:$H$41,7,0),"")</f>
        <v/>
      </c>
      <c r="N55" s="1308" t="str">
        <f>IFERROR(IF(K55&gt;0,K55,(VLOOKUP('Cover Sheet'!$B$15,'Carbon factors'!$B$116:$E$361,4,0))),"")</f>
        <v/>
      </c>
      <c r="O55" s="656" t="str">
        <f t="shared" si="2"/>
        <v/>
      </c>
      <c r="P55" s="179" t="s">
        <v>617</v>
      </c>
      <c r="Q55" s="1230"/>
      <c r="R55" s="674" t="str">
        <f t="shared" si="3"/>
        <v/>
      </c>
      <c r="S55" s="1303" t="str">
        <f>IFERROR(IF(K55&gt;0,"User defined",(VLOOKUP('Cover Sheet'!$B$15,'Carbon factors'!$B$116:$E$361,3,0))),"")</f>
        <v/>
      </c>
      <c r="T55" s="1305"/>
      <c r="U55" s="1297"/>
      <c r="V55" s="183"/>
      <c r="W55" s="1296"/>
    </row>
    <row r="56" spans="1:29" x14ac:dyDescent="0.35">
      <c r="A56" s="1808"/>
      <c r="B56" s="824"/>
      <c r="C56" s="479" t="s">
        <v>616</v>
      </c>
      <c r="D56" s="158" t="s">
        <v>563</v>
      </c>
      <c r="E56" s="574"/>
      <c r="F56" s="186"/>
      <c r="G56" s="664" t="str" cm="1">
        <f t="array" ref="G56">IFERROR((((_xlfn.IFS(F56=$AC$15,"3",F56=$AC$16,"2",F56=$AC$17,"1",F56=$AC$18,"1"))*(IF(K56="",0.8,1)))*E56),"")</f>
        <v/>
      </c>
      <c r="H56" s="168"/>
      <c r="I56" s="1184"/>
      <c r="J56" s="531"/>
      <c r="K56" s="200"/>
      <c r="L56" s="819" t="str">
        <f>IFERROR(VLOOKUP(B56,Buildings!$B$9:$H$41,3,0),"")</f>
        <v/>
      </c>
      <c r="M56" s="449" t="str">
        <f>IFERROR(VLOOKUP(B56,Buildings!$B$9:$H$41,7,0),"")</f>
        <v/>
      </c>
      <c r="N56" s="1308" t="str">
        <f>IFERROR(IF(K56&gt;0,K56,(VLOOKUP('Cover Sheet'!$B$15,'Carbon factors'!$B$116:$E$361,4,0))),"")</f>
        <v/>
      </c>
      <c r="O56" s="656" t="str">
        <f t="shared" si="2"/>
        <v/>
      </c>
      <c r="P56" s="179" t="s">
        <v>617</v>
      </c>
      <c r="Q56" s="1230"/>
      <c r="R56" s="674" t="str">
        <f t="shared" si="3"/>
        <v/>
      </c>
      <c r="S56" s="1303" t="str">
        <f>IFERROR(IF(K56&gt;0,"User defined",(VLOOKUP('Cover Sheet'!$B$15,'Carbon factors'!$B$116:$E$361,3,0))),"")</f>
        <v/>
      </c>
      <c r="T56" s="1305"/>
      <c r="U56" s="1297"/>
      <c r="V56" s="183"/>
      <c r="W56" s="1296"/>
    </row>
    <row r="57" spans="1:29" x14ac:dyDescent="0.35">
      <c r="A57" s="1808"/>
      <c r="B57" s="824"/>
      <c r="C57" s="479" t="s">
        <v>616</v>
      </c>
      <c r="D57" s="158" t="s">
        <v>563</v>
      </c>
      <c r="E57" s="574"/>
      <c r="F57" s="198"/>
      <c r="G57" s="664" t="str" cm="1">
        <f t="array" ref="G57">IFERROR((((_xlfn.IFS(F57=$AC$15,"3",F57=$AC$16,"2",F57=$AC$17,"1",F57=$AC$18,"1"))*(IF(K57="",0.8,1)))*E57),"")</f>
        <v/>
      </c>
      <c r="H57" s="166"/>
      <c r="I57" s="1184"/>
      <c r="J57" s="531"/>
      <c r="K57" s="200"/>
      <c r="L57" s="819" t="str">
        <f>IFERROR(VLOOKUP(B57,Buildings!$B$9:$H$41,3,0),"")</f>
        <v/>
      </c>
      <c r="M57" s="449" t="str">
        <f>IFERROR(VLOOKUP(B57,Buildings!$B$9:$H$41,7,0),"")</f>
        <v/>
      </c>
      <c r="N57" s="1308" t="str">
        <f>IFERROR(IF(K57&gt;0,K57,(VLOOKUP('Cover Sheet'!$B$15,'Carbon factors'!$B$116:$E$361,4,0))),"")</f>
        <v/>
      </c>
      <c r="O57" s="656" t="str">
        <f t="shared" si="2"/>
        <v/>
      </c>
      <c r="P57" s="179" t="s">
        <v>617</v>
      </c>
      <c r="Q57" s="1230"/>
      <c r="R57" s="674" t="str">
        <f t="shared" si="3"/>
        <v/>
      </c>
      <c r="S57" s="1303" t="str">
        <f>IFERROR(IF(K57&gt;0,"User defined",(VLOOKUP('Cover Sheet'!$B$15,'Carbon factors'!$B$116:$E$361,3,0))),"")</f>
        <v/>
      </c>
      <c r="T57" s="1305"/>
      <c r="U57" s="1297"/>
      <c r="V57" s="183"/>
      <c r="W57" s="1296"/>
    </row>
    <row r="58" spans="1:29" x14ac:dyDescent="0.35">
      <c r="A58" s="1808"/>
      <c r="B58" s="824"/>
      <c r="C58" s="479" t="s">
        <v>616</v>
      </c>
      <c r="D58" s="158" t="s">
        <v>563</v>
      </c>
      <c r="E58" s="574"/>
      <c r="F58" s="186"/>
      <c r="G58" s="664" t="str" cm="1">
        <f t="array" ref="G58">IFERROR((((_xlfn.IFS(F58=$AC$15,"3",F58=$AC$16,"2",F58=$AC$17,"1",F58=$AC$18,"1"))*(IF(K58="",0.8,1)))*E58),"")</f>
        <v/>
      </c>
      <c r="H58" s="168"/>
      <c r="I58" s="1184"/>
      <c r="J58" s="531"/>
      <c r="K58" s="200"/>
      <c r="L58" s="819" t="str">
        <f>IFERROR(VLOOKUP(B58,Buildings!$B$9:$H$41,3,0),"")</f>
        <v/>
      </c>
      <c r="M58" s="449" t="str">
        <f>IFERROR(VLOOKUP(B58,Buildings!$B$9:$H$41,7,0),"")</f>
        <v/>
      </c>
      <c r="N58" s="1308" t="str">
        <f>IFERROR(IF(K58&gt;0,K58,(VLOOKUP('Cover Sheet'!$B$15,'Carbon factors'!$B$116:$E$361,4,0))),"")</f>
        <v/>
      </c>
      <c r="O58" s="656" t="str">
        <f t="shared" si="2"/>
        <v/>
      </c>
      <c r="P58" s="179" t="s">
        <v>617</v>
      </c>
      <c r="Q58" s="1230"/>
      <c r="R58" s="674" t="str">
        <f t="shared" si="3"/>
        <v/>
      </c>
      <c r="S58" s="1303" t="str">
        <f>IFERROR(IF(K58&gt;0,"User defined",(VLOOKUP('Cover Sheet'!$B$15,'Carbon factors'!$B$116:$E$361,3,0))),"")</f>
        <v/>
      </c>
      <c r="T58" s="1305"/>
      <c r="U58" s="1297"/>
      <c r="V58" s="183"/>
      <c r="W58" s="1296"/>
      <c r="Y58" s="6"/>
      <c r="Z58" s="6"/>
      <c r="AA58" s="6"/>
      <c r="AC58" s="6"/>
    </row>
    <row r="59" spans="1:29" x14ac:dyDescent="0.35">
      <c r="A59" s="1808"/>
      <c r="B59" s="824"/>
      <c r="C59" s="479" t="s">
        <v>616</v>
      </c>
      <c r="D59" s="158" t="s">
        <v>563</v>
      </c>
      <c r="E59" s="574"/>
      <c r="F59" s="186"/>
      <c r="G59" s="664" t="str" cm="1">
        <f t="array" ref="G59">IFERROR((((_xlfn.IFS(F59=$AC$15,"3",F59=$AC$16,"2",F59=$AC$17,"1",F59=$AC$18,"1"))*(IF(K59="",0.8,1)))*E59),"")</f>
        <v/>
      </c>
      <c r="H59" s="166"/>
      <c r="I59" s="1184"/>
      <c r="J59" s="531"/>
      <c r="K59" s="200"/>
      <c r="L59" s="819" t="str">
        <f>IFERROR(VLOOKUP(B59,Buildings!$B$9:$H$41,3,0),"")</f>
        <v/>
      </c>
      <c r="M59" s="449" t="str">
        <f>IFERROR(VLOOKUP(B59,Buildings!$B$9:$H$41,7,0),"")</f>
        <v/>
      </c>
      <c r="N59" s="1308" t="str">
        <f>IFERROR(IF(K59&gt;0,K59,(VLOOKUP('Cover Sheet'!$B$15,'Carbon factors'!$B$116:$E$361,4,0))),"")</f>
        <v/>
      </c>
      <c r="O59" s="656" t="str">
        <f t="shared" si="2"/>
        <v/>
      </c>
      <c r="P59" s="179" t="s">
        <v>617</v>
      </c>
      <c r="Q59" s="1230"/>
      <c r="R59" s="674" t="str">
        <f t="shared" si="3"/>
        <v/>
      </c>
      <c r="S59" s="1303" t="str">
        <f>IFERROR(IF(K59&gt;0,"User defined",(VLOOKUP('Cover Sheet'!$B$15,'Carbon factors'!$B$116:$E$361,3,0))),"")</f>
        <v/>
      </c>
      <c r="T59" s="1305"/>
      <c r="U59" s="1297"/>
      <c r="V59" s="183"/>
      <c r="W59" s="1296"/>
      <c r="Y59" s="7"/>
    </row>
    <row r="60" spans="1:29" x14ac:dyDescent="0.35">
      <c r="A60" s="1808"/>
      <c r="B60" s="824"/>
      <c r="C60" s="479" t="s">
        <v>616</v>
      </c>
      <c r="D60" s="158" t="s">
        <v>563</v>
      </c>
      <c r="E60" s="574"/>
      <c r="F60" s="186"/>
      <c r="G60" s="664" t="str" cm="1">
        <f t="array" ref="G60">IFERROR((((_xlfn.IFS(F60=$AC$15,"3",F60=$AC$16,"2",F60=$AC$17,"1",F60=$AC$18,"1"))*(IF(K60="",0.8,1)))*E60),"")</f>
        <v/>
      </c>
      <c r="H60" s="168"/>
      <c r="I60" s="1184"/>
      <c r="J60" s="531"/>
      <c r="K60" s="200"/>
      <c r="L60" s="819" t="str">
        <f>IFERROR(VLOOKUP(B60,Buildings!$B$9:$H$41,3,0),"")</f>
        <v/>
      </c>
      <c r="M60" s="449" t="str">
        <f>IFERROR(VLOOKUP(B60,Buildings!$B$9:$H$41,7,0),"")</f>
        <v/>
      </c>
      <c r="N60" s="1308" t="str">
        <f>IFERROR(IF(K60&gt;0,K60,(VLOOKUP('Cover Sheet'!$B$15,'Carbon factors'!$B$116:$E$361,4,0))),"")</f>
        <v/>
      </c>
      <c r="O60" s="656" t="str">
        <f t="shared" si="2"/>
        <v/>
      </c>
      <c r="P60" s="179" t="s">
        <v>617</v>
      </c>
      <c r="Q60" s="1230"/>
      <c r="R60" s="674" t="str">
        <f t="shared" si="3"/>
        <v/>
      </c>
      <c r="S60" s="1303" t="str">
        <f>IFERROR(IF(K60&gt;0,"User defined",(VLOOKUP('Cover Sheet'!$B$15,'Carbon factors'!$B$116:$E$361,3,0))),"")</f>
        <v/>
      </c>
      <c r="T60" s="1305"/>
      <c r="U60" s="1297"/>
      <c r="V60" s="183"/>
      <c r="W60" s="1296"/>
    </row>
    <row r="61" spans="1:29" x14ac:dyDescent="0.35">
      <c r="A61" s="1808"/>
      <c r="B61" s="824"/>
      <c r="C61" s="479" t="s">
        <v>616</v>
      </c>
      <c r="D61" s="158" t="s">
        <v>563</v>
      </c>
      <c r="E61" s="574"/>
      <c r="F61" s="186"/>
      <c r="G61" s="664" t="str" cm="1">
        <f t="array" ref="G61">IFERROR((((_xlfn.IFS(F61=$AC$15,"3",F61=$AC$16,"2",F61=$AC$17,"1",F61=$AC$18,"1"))*(IF(K61="",0.8,1)))*E61),"")</f>
        <v/>
      </c>
      <c r="H61" s="166"/>
      <c r="I61" s="1184"/>
      <c r="J61" s="531"/>
      <c r="K61" s="200"/>
      <c r="L61" s="819" t="str">
        <f>IFERROR(VLOOKUP(B61,Buildings!$B$9:$H$41,3,0),"")</f>
        <v/>
      </c>
      <c r="M61" s="449" t="str">
        <f>IFERROR(VLOOKUP(B61,Buildings!$B$9:$H$41,7,0),"")</f>
        <v/>
      </c>
      <c r="N61" s="1308" t="str">
        <f>IFERROR(IF(K61&gt;0,K61,(VLOOKUP('Cover Sheet'!$B$15,'Carbon factors'!$B$116:$E$361,4,0))),"")</f>
        <v/>
      </c>
      <c r="O61" s="656" t="str">
        <f t="shared" si="2"/>
        <v/>
      </c>
      <c r="P61" s="179" t="s">
        <v>617</v>
      </c>
      <c r="Q61" s="1230"/>
      <c r="R61" s="674" t="str">
        <f t="shared" si="3"/>
        <v/>
      </c>
      <c r="S61" s="1303" t="str">
        <f>IFERROR(IF(K61&gt;0,"User defined",(VLOOKUP('Cover Sheet'!$B$15,'Carbon factors'!$B$116:$E$361,3,0))),"")</f>
        <v/>
      </c>
      <c r="T61" s="1305"/>
      <c r="U61" s="1297"/>
      <c r="V61" s="183"/>
      <c r="W61" s="1296"/>
      <c r="AB61" s="6"/>
    </row>
    <row r="62" spans="1:29" x14ac:dyDescent="0.35">
      <c r="A62" s="1808"/>
      <c r="B62" s="824"/>
      <c r="C62" s="479" t="s">
        <v>616</v>
      </c>
      <c r="D62" s="158" t="s">
        <v>563</v>
      </c>
      <c r="E62" s="574"/>
      <c r="F62" s="186"/>
      <c r="G62" s="664" t="str" cm="1">
        <f t="array" ref="G62">IFERROR((((_xlfn.IFS(F62=$AC$15,"3",F62=$AC$16,"2",F62=$AC$17,"1",F62=$AC$18,"1"))*(IF(K62="",0.8,1)))*E62),"")</f>
        <v/>
      </c>
      <c r="H62" s="168"/>
      <c r="I62" s="1184"/>
      <c r="J62" s="531"/>
      <c r="K62" s="200"/>
      <c r="L62" s="819" t="str">
        <f>IFERROR(VLOOKUP(B62,Buildings!$B$9:$H$41,3,0),"")</f>
        <v/>
      </c>
      <c r="M62" s="449" t="str">
        <f>IFERROR(VLOOKUP(B62,Buildings!$B$9:$H$41,7,0),"")</f>
        <v/>
      </c>
      <c r="N62" s="1308" t="str">
        <f>IFERROR(IF(K62&gt;0,K62,(VLOOKUP('Cover Sheet'!$B$15,'Carbon factors'!$B$116:$E$361,4,0))),"")</f>
        <v/>
      </c>
      <c r="O62" s="656" t="str">
        <f t="shared" si="2"/>
        <v/>
      </c>
      <c r="P62" s="179" t="s">
        <v>617</v>
      </c>
      <c r="Q62" s="1230"/>
      <c r="R62" s="674" t="str">
        <f t="shared" si="3"/>
        <v/>
      </c>
      <c r="S62" s="1303" t="str">
        <f>IFERROR(IF(K62&gt;0,"User defined",(VLOOKUP('Cover Sheet'!$B$15,'Carbon factors'!$B$116:$E$361,3,0))),"")</f>
        <v/>
      </c>
      <c r="T62" s="1305"/>
      <c r="U62" s="1297"/>
      <c r="V62" s="183"/>
      <c r="W62" s="1296"/>
      <c r="AB62" s="6"/>
    </row>
    <row r="63" spans="1:29" x14ac:dyDescent="0.35">
      <c r="A63" s="1808"/>
      <c r="B63" s="824"/>
      <c r="C63" s="479" t="s">
        <v>616</v>
      </c>
      <c r="D63" s="158" t="s">
        <v>563</v>
      </c>
      <c r="E63" s="574"/>
      <c r="F63" s="186"/>
      <c r="G63" s="664" t="str" cm="1">
        <f t="array" ref="G63">IFERROR((((_xlfn.IFS(F63=$AC$15,"3",F63=$AC$16,"2",F63=$AC$17,"1",F63=$AC$18,"1"))*(IF(K63="",0.8,1)))*E63),"")</f>
        <v/>
      </c>
      <c r="H63" s="166"/>
      <c r="I63" s="1184"/>
      <c r="J63" s="531"/>
      <c r="K63" s="200"/>
      <c r="L63" s="819" t="str">
        <f>IFERROR(VLOOKUP(B63,Buildings!$B$9:$H$41,3,0),"")</f>
        <v/>
      </c>
      <c r="M63" s="449" t="str">
        <f>IFERROR(VLOOKUP(B63,Buildings!$B$9:$H$41,7,0),"")</f>
        <v/>
      </c>
      <c r="N63" s="1308" t="str">
        <f>IFERROR(IF(K63&gt;0,K63,(VLOOKUP('Cover Sheet'!$B$15,'Carbon factors'!$B$116:$E$361,4,0))),"")</f>
        <v/>
      </c>
      <c r="O63" s="656" t="str">
        <f t="shared" si="2"/>
        <v/>
      </c>
      <c r="P63" s="179" t="s">
        <v>617</v>
      </c>
      <c r="Q63" s="1230"/>
      <c r="R63" s="674" t="str">
        <f t="shared" si="3"/>
        <v/>
      </c>
      <c r="S63" s="1303" t="str">
        <f>IFERROR(IF(K63&gt;0,"User defined",(VLOOKUP('Cover Sheet'!$B$15,'Carbon factors'!$B$116:$E$361,3,0))),"")</f>
        <v/>
      </c>
      <c r="T63" s="1305"/>
      <c r="U63" s="1297"/>
      <c r="V63" s="183"/>
      <c r="W63" s="1296"/>
      <c r="AB63" s="6"/>
    </row>
    <row r="64" spans="1:29" x14ac:dyDescent="0.35">
      <c r="A64" s="1808"/>
      <c r="B64" s="824"/>
      <c r="C64" s="479" t="s">
        <v>616</v>
      </c>
      <c r="D64" s="158" t="s">
        <v>563</v>
      </c>
      <c r="E64" s="574"/>
      <c r="F64" s="186"/>
      <c r="G64" s="664" t="str" cm="1">
        <f t="array" ref="G64">IFERROR((((_xlfn.IFS(F64=$AC$15,"3",F64=$AC$16,"2",F64=$AC$17,"1",F64=$AC$18,"1"))*(IF(K64="",0.8,1)))*E64),"")</f>
        <v/>
      </c>
      <c r="H64" s="168"/>
      <c r="I64" s="1184"/>
      <c r="J64" s="531"/>
      <c r="K64" s="200"/>
      <c r="L64" s="819" t="str">
        <f>IFERROR(VLOOKUP(B64,Buildings!$B$9:$H$41,3,0),"")</f>
        <v/>
      </c>
      <c r="M64" s="449" t="str">
        <f>IFERROR(VLOOKUP(B64,Buildings!$B$9:$H$41,7,0),"")</f>
        <v/>
      </c>
      <c r="N64" s="1308" t="str">
        <f>IFERROR(IF(K64&gt;0,K64,(VLOOKUP('Cover Sheet'!$B$15,'Carbon factors'!$B$116:$E$361,4,0))),"")</f>
        <v/>
      </c>
      <c r="O64" s="656" t="str">
        <f t="shared" si="2"/>
        <v/>
      </c>
      <c r="P64" s="179" t="s">
        <v>617</v>
      </c>
      <c r="Q64" s="1230"/>
      <c r="R64" s="674" t="str">
        <f t="shared" si="3"/>
        <v/>
      </c>
      <c r="S64" s="1303" t="str">
        <f>IFERROR(IF(K64&gt;0,"User defined",(VLOOKUP('Cover Sheet'!$B$15,'Carbon factors'!$B$116:$E$361,3,0))),"")</f>
        <v/>
      </c>
      <c r="T64" s="1305"/>
      <c r="U64" s="1297"/>
      <c r="V64" s="183"/>
      <c r="W64" s="1296"/>
      <c r="AB64" s="6"/>
    </row>
    <row r="65" spans="1:28" x14ac:dyDescent="0.35">
      <c r="A65" s="1808"/>
      <c r="B65" s="824"/>
      <c r="C65" s="479" t="s">
        <v>616</v>
      </c>
      <c r="D65" s="158" t="s">
        <v>563</v>
      </c>
      <c r="E65" s="574"/>
      <c r="F65" s="186"/>
      <c r="G65" s="664" t="str" cm="1">
        <f t="array" ref="G65">IFERROR((((_xlfn.IFS(F65=$AC$15,"3",F65=$AC$16,"2",F65=$AC$17,"1",F65=$AC$18,"1"))*(IF(K65="",0.8,1)))*E65),"")</f>
        <v/>
      </c>
      <c r="H65" s="166"/>
      <c r="I65" s="1184"/>
      <c r="J65" s="531"/>
      <c r="K65" s="200"/>
      <c r="L65" s="819" t="str">
        <f>IFERROR(VLOOKUP(B65,Buildings!$B$9:$H$41,3,0),"")</f>
        <v/>
      </c>
      <c r="M65" s="449" t="str">
        <f>IFERROR(VLOOKUP(B65,Buildings!$B$9:$H$41,7,0),"")</f>
        <v/>
      </c>
      <c r="N65" s="1308" t="str">
        <f>IFERROR(IF(K65&gt;0,K65,(VLOOKUP('Cover Sheet'!$B$15,'Carbon factors'!$B$116:$E$361,4,0))),"")</f>
        <v/>
      </c>
      <c r="O65" s="656" t="str">
        <f t="shared" si="2"/>
        <v/>
      </c>
      <c r="P65" s="179" t="s">
        <v>617</v>
      </c>
      <c r="Q65" s="1230"/>
      <c r="R65" s="674" t="str">
        <f t="shared" si="3"/>
        <v/>
      </c>
      <c r="S65" s="1303" t="str">
        <f>IFERROR(IF(K65&gt;0,"User defined",(VLOOKUP('Cover Sheet'!$B$15,'Carbon factors'!$B$116:$E$361,3,0))),"")</f>
        <v/>
      </c>
      <c r="T65" s="1305"/>
      <c r="U65" s="1297"/>
      <c r="V65" s="183"/>
      <c r="W65" s="1296"/>
      <c r="AB65" s="6"/>
    </row>
    <row r="66" spans="1:28" x14ac:dyDescent="0.35">
      <c r="A66" s="1808"/>
      <c r="B66" s="824"/>
      <c r="C66" s="479" t="s">
        <v>616</v>
      </c>
      <c r="D66" s="158" t="s">
        <v>563</v>
      </c>
      <c r="E66" s="574"/>
      <c r="F66" s="186"/>
      <c r="G66" s="664" t="str" cm="1">
        <f t="array" ref="G66">IFERROR((((_xlfn.IFS(F66=$AC$15,"3",F66=$AC$16,"2",F66=$AC$17,"1",F66=$AC$18,"1"))*(IF(K66="",0.8,1)))*E66),"")</f>
        <v/>
      </c>
      <c r="H66" s="168"/>
      <c r="I66" s="1184"/>
      <c r="J66" s="531"/>
      <c r="K66" s="200"/>
      <c r="L66" s="819" t="str">
        <f>IFERROR(VLOOKUP(B66,Buildings!$B$9:$H$41,3,0),"")</f>
        <v/>
      </c>
      <c r="M66" s="449" t="str">
        <f>IFERROR(VLOOKUP(B66,Buildings!$B$9:$H$41,7,0),"")</f>
        <v/>
      </c>
      <c r="N66" s="1308" t="str">
        <f>IFERROR(IF(K66&gt;0,K66,(VLOOKUP('Cover Sheet'!$B$15,'Carbon factors'!$B$116:$E$361,4,0))),"")</f>
        <v/>
      </c>
      <c r="O66" s="656" t="str">
        <f t="shared" si="2"/>
        <v/>
      </c>
      <c r="P66" s="179" t="s">
        <v>617</v>
      </c>
      <c r="Q66" s="1230"/>
      <c r="R66" s="674" t="str">
        <f t="shared" si="3"/>
        <v/>
      </c>
      <c r="S66" s="1303" t="str">
        <f>IFERROR(IF(K66&gt;0,"User defined",(VLOOKUP('Cover Sheet'!$B$15,'Carbon factors'!$B$116:$E$361,3,0))),"")</f>
        <v/>
      </c>
      <c r="T66" s="1305"/>
      <c r="U66" s="1297"/>
      <c r="V66" s="183"/>
      <c r="W66" s="1296"/>
      <c r="AB66" s="6"/>
    </row>
    <row r="67" spans="1:28" x14ac:dyDescent="0.35">
      <c r="A67" s="1808"/>
      <c r="B67" s="824"/>
      <c r="C67" s="479" t="s">
        <v>616</v>
      </c>
      <c r="D67" s="158" t="s">
        <v>563</v>
      </c>
      <c r="E67" s="574"/>
      <c r="F67" s="186"/>
      <c r="G67" s="664" t="str" cm="1">
        <f t="array" ref="G67">IFERROR((((_xlfn.IFS(F67=$AC$15,"3",F67=$AC$16,"2",F67=$AC$17,"1",F67=$AC$18,"1"))*(IF(K67="",0.8,1)))*E67),"")</f>
        <v/>
      </c>
      <c r="H67" s="166"/>
      <c r="I67" s="1184"/>
      <c r="J67" s="531"/>
      <c r="K67" s="200"/>
      <c r="L67" s="819" t="str">
        <f>IFERROR(VLOOKUP(B67,Buildings!$B$9:$H$41,3,0),"")</f>
        <v/>
      </c>
      <c r="M67" s="449" t="str">
        <f>IFERROR(VLOOKUP(B67,Buildings!$B$9:$H$41,7,0),"")</f>
        <v/>
      </c>
      <c r="N67" s="1308" t="str">
        <f>IFERROR(IF(K67&gt;0,K67,(VLOOKUP('Cover Sheet'!$B$15,'Carbon factors'!$B$116:$E$361,4,0))),"")</f>
        <v/>
      </c>
      <c r="O67" s="656" t="str">
        <f t="shared" si="2"/>
        <v/>
      </c>
      <c r="P67" s="179" t="s">
        <v>617</v>
      </c>
      <c r="Q67" s="1230"/>
      <c r="R67" s="674" t="str">
        <f t="shared" si="3"/>
        <v/>
      </c>
      <c r="S67" s="1303" t="str">
        <f>IFERROR(IF(K67&gt;0,"User defined",(VLOOKUP('Cover Sheet'!$B$15,'Carbon factors'!$B$116:$E$361,3,0))),"")</f>
        <v/>
      </c>
      <c r="T67" s="1305"/>
      <c r="U67" s="1297"/>
      <c r="V67" s="183"/>
      <c r="W67" s="1296"/>
      <c r="AB67" s="6"/>
    </row>
    <row r="68" spans="1:28" x14ac:dyDescent="0.35">
      <c r="A68" s="1808"/>
      <c r="B68" s="824"/>
      <c r="C68" s="479" t="s">
        <v>616</v>
      </c>
      <c r="D68" s="158" t="s">
        <v>563</v>
      </c>
      <c r="E68" s="574"/>
      <c r="F68" s="186"/>
      <c r="G68" s="664" t="str" cm="1">
        <f t="array" ref="G68">IFERROR((((_xlfn.IFS(F68=$AC$15,"3",F68=$AC$16,"2",F68=$AC$17,"1",F68=$AC$18,"1"))*(IF(K68="",0.8,1)))*E68),"")</f>
        <v/>
      </c>
      <c r="H68" s="168"/>
      <c r="I68" s="1184"/>
      <c r="J68" s="531"/>
      <c r="K68" s="200"/>
      <c r="L68" s="819" t="str">
        <f>IFERROR(VLOOKUP(B68,Buildings!$B$9:$H$41,3,0),"")</f>
        <v/>
      </c>
      <c r="M68" s="449" t="str">
        <f>IFERROR(VLOOKUP(B68,Buildings!$B$9:$H$41,7,0),"")</f>
        <v/>
      </c>
      <c r="N68" s="1308" t="str">
        <f>IFERROR(IF(K68&gt;0,K68,(VLOOKUP('Cover Sheet'!$B$15,'Carbon factors'!$B$116:$E$361,4,0))),"")</f>
        <v/>
      </c>
      <c r="O68" s="656" t="str">
        <f t="shared" si="2"/>
        <v/>
      </c>
      <c r="P68" s="179" t="s">
        <v>617</v>
      </c>
      <c r="Q68" s="1230"/>
      <c r="R68" s="674" t="str">
        <f t="shared" si="3"/>
        <v/>
      </c>
      <c r="S68" s="1303" t="str">
        <f>IFERROR(IF(K68&gt;0,"User defined",(VLOOKUP('Cover Sheet'!$B$15,'Carbon factors'!$B$116:$E$361,3,0))),"")</f>
        <v/>
      </c>
      <c r="T68" s="1305"/>
      <c r="U68" s="1297"/>
      <c r="V68" s="183"/>
      <c r="W68" s="1296"/>
      <c r="AB68" s="6"/>
    </row>
    <row r="69" spans="1:28" x14ac:dyDescent="0.35">
      <c r="A69" s="1808"/>
      <c r="B69" s="824"/>
      <c r="C69" s="479" t="s">
        <v>616</v>
      </c>
      <c r="D69" s="158" t="s">
        <v>563</v>
      </c>
      <c r="E69" s="574"/>
      <c r="F69" s="186"/>
      <c r="G69" s="664" t="str" cm="1">
        <f t="array" ref="G69">IFERROR((((_xlfn.IFS(F69=$AC$15,"3",F69=$AC$16,"2",F69=$AC$17,"1",F69=$AC$18,"1"))*(IF(K69="",0.8,1)))*E69),"")</f>
        <v/>
      </c>
      <c r="H69" s="166"/>
      <c r="I69" s="1184"/>
      <c r="J69" s="531"/>
      <c r="K69" s="200"/>
      <c r="L69" s="819" t="str">
        <f>IFERROR(VLOOKUP(B69,Buildings!$B$9:$H$41,3,0),"")</f>
        <v/>
      </c>
      <c r="M69" s="449" t="str">
        <f>IFERROR(VLOOKUP(B69,Buildings!$B$9:$H$41,7,0),"")</f>
        <v/>
      </c>
      <c r="N69" s="1308" t="str">
        <f>IFERROR(IF(K69&gt;0,K69,(VLOOKUP('Cover Sheet'!$B$15,'Carbon factors'!$B$116:$E$361,4,0))),"")</f>
        <v/>
      </c>
      <c r="O69" s="656" t="str">
        <f t="shared" si="2"/>
        <v/>
      </c>
      <c r="P69" s="179" t="s">
        <v>617</v>
      </c>
      <c r="Q69" s="1230"/>
      <c r="R69" s="674" t="str">
        <f t="shared" si="3"/>
        <v/>
      </c>
      <c r="S69" s="1303" t="str">
        <f>IFERROR(IF(K69&gt;0,"User defined",(VLOOKUP('Cover Sheet'!$B$15,'Carbon factors'!$B$116:$E$361,3,0))),"")</f>
        <v/>
      </c>
      <c r="T69" s="1305"/>
      <c r="U69" s="1297"/>
      <c r="V69" s="183"/>
      <c r="W69" s="1296"/>
      <c r="AB69" s="6"/>
    </row>
    <row r="70" spans="1:28" x14ac:dyDescent="0.35">
      <c r="A70" s="1808"/>
      <c r="B70" s="824"/>
      <c r="C70" s="479" t="s">
        <v>616</v>
      </c>
      <c r="D70" s="158" t="s">
        <v>563</v>
      </c>
      <c r="E70" s="574"/>
      <c r="F70" s="186"/>
      <c r="G70" s="664" t="str" cm="1">
        <f t="array" ref="G70">IFERROR((((_xlfn.IFS(F70=$AC$15,"3",F70=$AC$16,"2",F70=$AC$17,"1",F70=$AC$18,"1"))*(IF(K70="",0.8,1)))*E70),"")</f>
        <v/>
      </c>
      <c r="H70" s="168"/>
      <c r="I70" s="1184"/>
      <c r="J70" s="531"/>
      <c r="K70" s="200"/>
      <c r="L70" s="819" t="str">
        <f>IFERROR(VLOOKUP(B70,Buildings!$B$9:$H$41,3,0),"")</f>
        <v/>
      </c>
      <c r="M70" s="449" t="str">
        <f>IFERROR(VLOOKUP(B70,Buildings!$B$9:$H$41,7,0),"")</f>
        <v/>
      </c>
      <c r="N70" s="1308" t="str">
        <f>IFERROR(IF(K70&gt;0,K70,(VLOOKUP('Cover Sheet'!$B$15,'Carbon factors'!$B$116:$E$361,4,0))),"")</f>
        <v/>
      </c>
      <c r="O70" s="656" t="str">
        <f t="shared" si="2"/>
        <v/>
      </c>
      <c r="P70" s="179" t="s">
        <v>617</v>
      </c>
      <c r="Q70" s="1230"/>
      <c r="R70" s="674" t="str">
        <f t="shared" si="3"/>
        <v/>
      </c>
      <c r="S70" s="1303" t="str">
        <f>IFERROR(IF(K70&gt;0,"User defined",(VLOOKUP('Cover Sheet'!$B$15,'Carbon factors'!$B$116:$E$361,3,0))),"")</f>
        <v/>
      </c>
      <c r="T70" s="1305"/>
      <c r="U70" s="1297"/>
      <c r="V70" s="183"/>
      <c r="W70" s="1296"/>
      <c r="AB70" s="6"/>
    </row>
    <row r="71" spans="1:28" x14ac:dyDescent="0.35">
      <c r="A71" s="1808"/>
      <c r="B71" s="824"/>
      <c r="C71" s="479" t="s">
        <v>616</v>
      </c>
      <c r="D71" s="158" t="s">
        <v>563</v>
      </c>
      <c r="E71" s="574"/>
      <c r="F71" s="186"/>
      <c r="G71" s="664" t="str" cm="1">
        <f t="array" ref="G71">IFERROR((((_xlfn.IFS(F71=$AC$15,"3",F71=$AC$16,"2",F71=$AC$17,"1",F71=$AC$18,"1"))*(IF(K71="",0.8,1)))*E71),"")</f>
        <v/>
      </c>
      <c r="H71" s="168"/>
      <c r="I71" s="1184"/>
      <c r="J71" s="531"/>
      <c r="K71" s="200"/>
      <c r="L71" s="819" t="str">
        <f>IFERROR(VLOOKUP(B71,Buildings!$B$9:$H$41,3,0),"")</f>
        <v/>
      </c>
      <c r="M71" s="449" t="str">
        <f>IFERROR(VLOOKUP(B71,Buildings!$B$9:$H$41,7,0),"")</f>
        <v/>
      </c>
      <c r="N71" s="1308" t="str">
        <f>IFERROR(IF(K71&gt;0,K71,(VLOOKUP('Cover Sheet'!$B$15,'Carbon factors'!$B$116:$E$361,4,0))),"")</f>
        <v/>
      </c>
      <c r="O71" s="656" t="str">
        <f t="shared" si="2"/>
        <v/>
      </c>
      <c r="P71" s="179" t="s">
        <v>617</v>
      </c>
      <c r="Q71" s="1230"/>
      <c r="R71" s="674" t="str">
        <f t="shared" si="3"/>
        <v/>
      </c>
      <c r="S71" s="1303" t="str">
        <f>IFERROR(IF(K71&gt;0,"User defined",(VLOOKUP('Cover Sheet'!$B$15,'Carbon factors'!$B$116:$E$361,3,0))),"")</f>
        <v/>
      </c>
      <c r="T71" s="1305"/>
      <c r="U71" s="1297"/>
      <c r="V71" s="183"/>
      <c r="W71" s="1296"/>
      <c r="AB71" s="6"/>
    </row>
    <row r="72" spans="1:28" x14ac:dyDescent="0.35">
      <c r="A72" s="1808"/>
      <c r="B72" s="824"/>
      <c r="C72" s="479" t="s">
        <v>616</v>
      </c>
      <c r="D72" s="158" t="s">
        <v>563</v>
      </c>
      <c r="E72" s="574"/>
      <c r="F72" s="186"/>
      <c r="G72" s="664" t="str" cm="1">
        <f t="array" ref="G72">IFERROR((((_xlfn.IFS(F72=$AC$15,"3",F72=$AC$16,"2",F72=$AC$17,"1",F72=$AC$18,"1"))*(IF(K72="",0.8,1)))*E72),"")</f>
        <v/>
      </c>
      <c r="H72" s="168"/>
      <c r="I72" s="1184"/>
      <c r="J72" s="531"/>
      <c r="K72" s="200"/>
      <c r="L72" s="819" t="str">
        <f>IFERROR(VLOOKUP(B72,Buildings!$B$9:$H$41,3,0),"")</f>
        <v/>
      </c>
      <c r="M72" s="449" t="str">
        <f>IFERROR(VLOOKUP(B72,Buildings!$B$9:$H$41,7,0),"")</f>
        <v/>
      </c>
      <c r="N72" s="1308" t="str">
        <f>IFERROR(IF(K72&gt;0,K72,(VLOOKUP('Cover Sheet'!$B$15,'Carbon factors'!$B$116:$E$361,4,0))),"")</f>
        <v/>
      </c>
      <c r="O72" s="656" t="str">
        <f t="shared" si="2"/>
        <v/>
      </c>
      <c r="P72" s="179" t="s">
        <v>617</v>
      </c>
      <c r="Q72" s="1230"/>
      <c r="R72" s="674" t="str">
        <f t="shared" si="3"/>
        <v/>
      </c>
      <c r="S72" s="1303" t="str">
        <f>IFERROR(IF(K72&gt;0,"User defined",(VLOOKUP('Cover Sheet'!$B$15,'Carbon factors'!$B$116:$E$361,3,0))),"")</f>
        <v/>
      </c>
      <c r="T72" s="1305"/>
      <c r="U72" s="1297"/>
      <c r="V72" s="183"/>
      <c r="W72" s="1296"/>
      <c r="AB72" s="6"/>
    </row>
    <row r="73" spans="1:28" x14ac:dyDescent="0.35">
      <c r="A73" s="1808"/>
      <c r="B73" s="824"/>
      <c r="C73" s="479" t="s">
        <v>616</v>
      </c>
      <c r="D73" s="158" t="s">
        <v>563</v>
      </c>
      <c r="E73" s="574"/>
      <c r="F73" s="186"/>
      <c r="G73" s="664" t="str" cm="1">
        <f t="array" ref="G73">IFERROR((((_xlfn.IFS(F73=$AC$15,"3",F73=$AC$16,"2",F73=$AC$17,"1",F73=$AC$18,"1"))*(IF(K73="",0.8,1)))*E73),"")</f>
        <v/>
      </c>
      <c r="H73" s="168"/>
      <c r="I73" s="1184"/>
      <c r="J73" s="531"/>
      <c r="K73" s="200"/>
      <c r="L73" s="819" t="str">
        <f>IFERROR(VLOOKUP(B73,Buildings!$B$9:$H$41,3,0),"")</f>
        <v/>
      </c>
      <c r="M73" s="449" t="str">
        <f>IFERROR(VLOOKUP(B73,Buildings!$B$9:$H$41,7,0),"")</f>
        <v/>
      </c>
      <c r="N73" s="1308" t="str">
        <f>IFERROR(IF(K73&gt;0,K73,(VLOOKUP('Cover Sheet'!$B$15,'Carbon factors'!$B$116:$E$361,4,0))),"")</f>
        <v/>
      </c>
      <c r="O73" s="656" t="str">
        <f t="shared" si="2"/>
        <v/>
      </c>
      <c r="P73" s="179" t="s">
        <v>617</v>
      </c>
      <c r="Q73" s="1230"/>
      <c r="R73" s="674" t="str">
        <f t="shared" si="3"/>
        <v/>
      </c>
      <c r="S73" s="1303" t="str">
        <f>IFERROR(IF(K73&gt;0,"User defined",(VLOOKUP('Cover Sheet'!$B$15,'Carbon factors'!$B$116:$E$361,3,0))),"")</f>
        <v/>
      </c>
      <c r="T73" s="1305"/>
      <c r="U73" s="1297"/>
      <c r="V73" s="183"/>
      <c r="W73" s="1296"/>
      <c r="AB73" s="6"/>
    </row>
    <row r="74" spans="1:28" x14ac:dyDescent="0.35">
      <c r="A74" s="1808"/>
      <c r="B74" s="824"/>
      <c r="C74" s="479" t="s">
        <v>616</v>
      </c>
      <c r="D74" s="158" t="s">
        <v>563</v>
      </c>
      <c r="E74" s="574"/>
      <c r="F74" s="186"/>
      <c r="G74" s="664" t="str" cm="1">
        <f t="array" ref="G74">IFERROR((((_xlfn.IFS(F74=$AC$15,"3",F74=$AC$16,"2",F74=$AC$17,"1",F74=$AC$18,"1"))*(IF(K74="",0.8,1)))*E74),"")</f>
        <v/>
      </c>
      <c r="H74" s="168"/>
      <c r="I74" s="1184"/>
      <c r="J74" s="531"/>
      <c r="K74" s="200"/>
      <c r="L74" s="819" t="str">
        <f>IFERROR(VLOOKUP(B74,Buildings!$B$9:$H$41,3,0),"")</f>
        <v/>
      </c>
      <c r="M74" s="449" t="str">
        <f>IFERROR(VLOOKUP(B74,Buildings!$B$9:$H$41,7,0),"")</f>
        <v/>
      </c>
      <c r="N74" s="1308" t="str">
        <f>IFERROR(IF(K74&gt;0,K74,(VLOOKUP('Cover Sheet'!$B$15,'Carbon factors'!$B$116:$E$361,4,0))),"")</f>
        <v/>
      </c>
      <c r="O74" s="656" t="str">
        <f t="shared" si="2"/>
        <v/>
      </c>
      <c r="P74" s="179" t="s">
        <v>617</v>
      </c>
      <c r="Q74" s="1230"/>
      <c r="R74" s="674" t="str">
        <f t="shared" si="3"/>
        <v/>
      </c>
      <c r="S74" s="1303" t="str">
        <f>IFERROR(IF(K74&gt;0,"User defined",(VLOOKUP('Cover Sheet'!$B$15,'Carbon factors'!$B$116:$E$361,3,0))),"")</f>
        <v/>
      </c>
      <c r="T74" s="1305"/>
      <c r="U74" s="1297"/>
      <c r="V74" s="183"/>
      <c r="W74" s="1296"/>
      <c r="AB74" s="6"/>
    </row>
    <row r="75" spans="1:28" x14ac:dyDescent="0.35">
      <c r="A75" s="1808"/>
      <c r="B75" s="824"/>
      <c r="C75" s="479" t="s">
        <v>616</v>
      </c>
      <c r="D75" s="158" t="s">
        <v>563</v>
      </c>
      <c r="E75" s="574"/>
      <c r="F75" s="186"/>
      <c r="G75" s="664" t="str" cm="1">
        <f t="array" ref="G75">IFERROR((((_xlfn.IFS(F75=$AC$15,"3",F75=$AC$16,"2",F75=$AC$17,"1",F75=$AC$18,"1"))*(IF(K75="",0.8,1)))*E75),"")</f>
        <v/>
      </c>
      <c r="H75" s="168"/>
      <c r="I75" s="1184"/>
      <c r="J75" s="531"/>
      <c r="K75" s="200"/>
      <c r="L75" s="819" t="str">
        <f>IFERROR(VLOOKUP(B75,Buildings!$B$9:$H$41,3,0),"")</f>
        <v/>
      </c>
      <c r="M75" s="449" t="str">
        <f>IFERROR(VLOOKUP(B75,Buildings!$B$9:$H$41,7,0),"")</f>
        <v/>
      </c>
      <c r="N75" s="1308" t="str">
        <f>IFERROR(IF(K75&gt;0,K75,(VLOOKUP('Cover Sheet'!$B$15,'Carbon factors'!$B$116:$E$361,4,0))),"")</f>
        <v/>
      </c>
      <c r="O75" s="656" t="str">
        <f t="shared" si="2"/>
        <v/>
      </c>
      <c r="P75" s="179" t="s">
        <v>617</v>
      </c>
      <c r="Q75" s="1230"/>
      <c r="R75" s="674" t="str">
        <f t="shared" si="3"/>
        <v/>
      </c>
      <c r="S75" s="1303" t="str">
        <f>IFERROR(IF(K75&gt;0,"User defined",(VLOOKUP('Cover Sheet'!$B$15,'Carbon factors'!$B$116:$E$361,3,0))),"")</f>
        <v/>
      </c>
      <c r="T75" s="1305"/>
      <c r="U75" s="1297"/>
      <c r="V75" s="183"/>
      <c r="W75" s="1296"/>
      <c r="AB75" s="6"/>
    </row>
    <row r="76" spans="1:28" x14ac:dyDescent="0.35">
      <c r="A76" s="1808"/>
      <c r="B76" s="824"/>
      <c r="C76" s="479" t="s">
        <v>616</v>
      </c>
      <c r="D76" s="158" t="s">
        <v>563</v>
      </c>
      <c r="E76" s="574"/>
      <c r="F76" s="186"/>
      <c r="G76" s="664" t="str" cm="1">
        <f t="array" ref="G76">IFERROR((((_xlfn.IFS(F76=$AC$15,"3",F76=$AC$16,"2",F76=$AC$17,"1",F76=$AC$18,"1"))*(IF(K76="",0.8,1)))*E76),"")</f>
        <v/>
      </c>
      <c r="H76" s="168"/>
      <c r="I76" s="1184"/>
      <c r="J76" s="531"/>
      <c r="K76" s="200"/>
      <c r="L76" s="819" t="str">
        <f>IFERROR(VLOOKUP(B76,Buildings!$B$9:$H$41,3,0),"")</f>
        <v/>
      </c>
      <c r="M76" s="449" t="str">
        <f>IFERROR(VLOOKUP(B76,Buildings!$B$9:$H$41,7,0),"")</f>
        <v/>
      </c>
      <c r="N76" s="1308" t="str">
        <f>IFERROR(IF(K76&gt;0,K76,(VLOOKUP('Cover Sheet'!$B$15,'Carbon factors'!$B$116:$E$361,4,0))),"")</f>
        <v/>
      </c>
      <c r="O76" s="656" t="str">
        <f t="shared" si="2"/>
        <v/>
      </c>
      <c r="P76" s="179" t="s">
        <v>617</v>
      </c>
      <c r="Q76" s="1230"/>
      <c r="R76" s="674" t="str">
        <f t="shared" si="3"/>
        <v/>
      </c>
      <c r="S76" s="1303" t="str">
        <f>IFERROR(IF(K76&gt;0,"User defined",(VLOOKUP('Cover Sheet'!$B$15,'Carbon factors'!$B$116:$E$361,3,0))),"")</f>
        <v/>
      </c>
      <c r="T76" s="1305"/>
      <c r="U76" s="1297"/>
      <c r="V76" s="183"/>
      <c r="W76" s="1296"/>
      <c r="AB76" s="6"/>
    </row>
    <row r="77" spans="1:28" x14ac:dyDescent="0.35">
      <c r="A77" s="1808"/>
      <c r="B77" s="824"/>
      <c r="C77" s="479" t="s">
        <v>616</v>
      </c>
      <c r="D77" s="158" t="s">
        <v>563</v>
      </c>
      <c r="E77" s="574"/>
      <c r="F77" s="186"/>
      <c r="G77" s="664" t="str" cm="1">
        <f t="array" ref="G77">IFERROR((((_xlfn.IFS(F77=$AC$15,"3",F77=$AC$16,"2",F77=$AC$17,"1",F77=$AC$18,"1"))*(IF(K77="",0.8,1)))*E77),"")</f>
        <v/>
      </c>
      <c r="H77" s="168"/>
      <c r="I77" s="1184"/>
      <c r="J77" s="531"/>
      <c r="K77" s="200"/>
      <c r="L77" s="819" t="str">
        <f>IFERROR(VLOOKUP(B77,Buildings!$B$9:$H$41,3,0),"")</f>
        <v/>
      </c>
      <c r="M77" s="449" t="str">
        <f>IFERROR(VLOOKUP(B77,Buildings!$B$9:$H$41,7,0),"")</f>
        <v/>
      </c>
      <c r="N77" s="1308" t="str">
        <f>IFERROR(IF(K77&gt;0,K77,(VLOOKUP('Cover Sheet'!$B$15,'Carbon factors'!$B$116:$E$361,4,0))),"")</f>
        <v/>
      </c>
      <c r="O77" s="656" t="str">
        <f t="shared" si="2"/>
        <v/>
      </c>
      <c r="P77" s="179" t="s">
        <v>617</v>
      </c>
      <c r="Q77" s="1230"/>
      <c r="R77" s="674" t="str">
        <f t="shared" si="3"/>
        <v/>
      </c>
      <c r="S77" s="1303" t="str">
        <f>IFERROR(IF(K77&gt;0,"User defined",(VLOOKUP('Cover Sheet'!$B$15,'Carbon factors'!$B$116:$E$361,3,0))),"")</f>
        <v/>
      </c>
      <c r="T77" s="1305"/>
      <c r="U77" s="1297"/>
      <c r="V77" s="183"/>
      <c r="W77" s="1296"/>
      <c r="AB77" s="6"/>
    </row>
    <row r="78" spans="1:28" ht="15" thickBot="1" x14ac:dyDescent="0.4">
      <c r="A78" s="1808"/>
      <c r="B78" s="824"/>
      <c r="C78" s="479" t="s">
        <v>616</v>
      </c>
      <c r="D78" s="158" t="s">
        <v>563</v>
      </c>
      <c r="E78" s="574"/>
      <c r="F78" s="186"/>
      <c r="G78" s="664" t="str" cm="1">
        <f t="array" ref="G78">IFERROR((((_xlfn.IFS(F78=$AC$15,"3",F78=$AC$16,"2",F78=$AC$17,"1",F78=$AC$18,"1"))*(IF(K78="",0.8,1)))*E78),"")</f>
        <v/>
      </c>
      <c r="H78" s="187"/>
      <c r="I78" s="1184"/>
      <c r="J78" s="531"/>
      <c r="K78" s="201"/>
      <c r="L78" s="819" t="str">
        <f>IFERROR(VLOOKUP(B78,Buildings!$B$9:$H$41,3,0),"")</f>
        <v/>
      </c>
      <c r="M78" s="449" t="str">
        <f>IFERROR(VLOOKUP(B78,Buildings!$B$9:$H$41,7,0),"")</f>
        <v/>
      </c>
      <c r="N78" s="1308" t="str">
        <f>IFERROR(IF(K78&gt;0,K78,(VLOOKUP('Cover Sheet'!$B$15,'Carbon factors'!$B$116:$E$361,4,0))),"")</f>
        <v/>
      </c>
      <c r="O78" s="656" t="str">
        <f t="shared" si="2"/>
        <v/>
      </c>
      <c r="P78" s="180" t="s">
        <v>617</v>
      </c>
      <c r="Q78" s="1233"/>
      <c r="R78" s="676" t="str">
        <f t="shared" si="3"/>
        <v/>
      </c>
      <c r="S78" s="1304" t="str">
        <f>IFERROR(IF(K78&gt;0,"User defined",(VLOOKUP('Cover Sheet'!$B$15,'Carbon factors'!$B$116:$E$361,3,0))),"")</f>
        <v/>
      </c>
      <c r="T78" s="1305"/>
      <c r="U78" s="1297"/>
      <c r="V78" s="183"/>
      <c r="W78" s="1296"/>
      <c r="AB78" s="6"/>
    </row>
    <row r="79" spans="1:28" ht="39" customHeight="1" thickBot="1" x14ac:dyDescent="0.5">
      <c r="A79" s="821" t="s">
        <v>525</v>
      </c>
      <c r="B79" s="827" t="s">
        <v>618</v>
      </c>
      <c r="C79" s="475" t="s">
        <v>532</v>
      </c>
      <c r="D79" s="172" t="s">
        <v>533</v>
      </c>
      <c r="E79" s="172" t="s">
        <v>534</v>
      </c>
      <c r="F79" s="171" t="s">
        <v>535</v>
      </c>
      <c r="G79" s="661" t="s">
        <v>536</v>
      </c>
      <c r="H79" s="171" t="s">
        <v>537</v>
      </c>
      <c r="I79" s="171" t="s">
        <v>142</v>
      </c>
      <c r="J79" s="171" t="s">
        <v>538</v>
      </c>
      <c r="K79" s="530" t="s">
        <v>619</v>
      </c>
      <c r="L79" s="171" t="s">
        <v>540</v>
      </c>
      <c r="M79" s="247" t="s">
        <v>541</v>
      </c>
      <c r="N79" s="233" t="s">
        <v>542</v>
      </c>
      <c r="O79" s="669" t="s">
        <v>543</v>
      </c>
      <c r="P79" s="171" t="s">
        <v>544</v>
      </c>
      <c r="Q79" s="1227" t="s">
        <v>545</v>
      </c>
      <c r="R79" s="671" t="s">
        <v>546</v>
      </c>
      <c r="S79" s="1305"/>
      <c r="T79" s="1305"/>
      <c r="U79" s="1447" t="s">
        <v>178</v>
      </c>
      <c r="V79" s="1448" t="s">
        <v>179</v>
      </c>
      <c r="W79" s="1449" t="s">
        <v>180</v>
      </c>
      <c r="AB79" s="6"/>
    </row>
    <row r="80" spans="1:28" ht="66.75" customHeight="1" thickBot="1" x14ac:dyDescent="0.4">
      <c r="A80" s="1812" t="s">
        <v>620</v>
      </c>
      <c r="B80" s="828" t="s">
        <v>554</v>
      </c>
      <c r="C80" s="477" t="s">
        <v>329</v>
      </c>
      <c r="D80" s="191" t="s">
        <v>329</v>
      </c>
      <c r="E80" s="192" t="s">
        <v>467</v>
      </c>
      <c r="F80" s="191" t="s">
        <v>329</v>
      </c>
      <c r="G80" s="662"/>
      <c r="H80" s="191" t="s">
        <v>467</v>
      </c>
      <c r="I80" s="191" t="s">
        <v>329</v>
      </c>
      <c r="J80" s="191" t="s">
        <v>556</v>
      </c>
      <c r="K80" s="474" t="s">
        <v>621</v>
      </c>
      <c r="L80" s="191" t="s">
        <v>558</v>
      </c>
      <c r="M80" s="474" t="s">
        <v>558</v>
      </c>
      <c r="N80" s="1176" t="s">
        <v>614</v>
      </c>
      <c r="O80" s="662" t="s">
        <v>560</v>
      </c>
      <c r="P80" s="191" t="s">
        <v>561</v>
      </c>
      <c r="Q80" s="1232" t="s">
        <v>562</v>
      </c>
      <c r="R80" s="677" t="s">
        <v>556</v>
      </c>
      <c r="U80" s="1450" t="s">
        <v>202</v>
      </c>
      <c r="V80" s="1451" t="s">
        <v>202</v>
      </c>
      <c r="W80" s="1452" t="s">
        <v>202</v>
      </c>
    </row>
    <row r="81" spans="1:29" x14ac:dyDescent="0.35">
      <c r="A81" s="1812"/>
      <c r="B81" s="824"/>
      <c r="C81" s="850"/>
      <c r="D81" s="574"/>
      <c r="E81" s="574"/>
      <c r="F81" s="186"/>
      <c r="G81" s="664" t="str" cm="1">
        <f t="array" ref="G81">IFERROR((_xlfn.IFS(F81=$AC$15,"3",F81=$AC$16,"2",F81=$AC$17,"1",F81=$AC$18,"1"))*E81,"")</f>
        <v/>
      </c>
      <c r="H81" s="166"/>
      <c r="I81" s="198"/>
      <c r="J81" s="183" t="str">
        <f>IFERROR(H81/VLOOKUP(I81,'$ Conversion'!$A$9:$B$40,2,0),"")</f>
        <v/>
      </c>
      <c r="K81" s="200"/>
      <c r="L81" s="819" t="str">
        <f>IFERROR(VLOOKUP(B81,Buildings!$B$9:$H$41,3,0),"")</f>
        <v/>
      </c>
      <c r="M81" s="449" t="str">
        <f>IFERROR(VLOOKUP(B81,Buildings!$B$9:$H$41,7,0),"")</f>
        <v/>
      </c>
      <c r="N81" s="1553" t="str">
        <f>IFERROR(VLOOKUP($C81&amp;"|"&amp;$D81,'Carbon factors'!$D$7:$E$361,2,0),"")</f>
        <v/>
      </c>
      <c r="O81" s="851" t="str">
        <f t="shared" ref="O81:O110" si="4">IFERROR(E81*N81,"")</f>
        <v/>
      </c>
      <c r="P81" s="435" t="str" cm="1">
        <f t="array" ref="P81">IFERROR(_xlfn.IFS(L81="Y","Scope 1",L81="N","Scope 3",L81="Unknown","Manually Select Scope -&gt;"),"")</f>
        <v/>
      </c>
      <c r="Q81" s="1229"/>
      <c r="R81" s="680" t="str">
        <f t="shared" ref="R81:R110" si="5">IFERROR((J81*E81),"")</f>
        <v/>
      </c>
      <c r="U81" s="1297" t="str">
        <f>IFERROR(($E81*(VLOOKUP($C81&amp;"|"&amp;$D81,'Carbon factors'!$D$7:$H$361,3,0))),"")</f>
        <v/>
      </c>
      <c r="V81" s="183" t="str">
        <f>IFERROR(($E81*(VLOOKUP($C81&amp;"|"&amp;$D81,'Carbon factors'!$D$7:$H$361,4,0))),"")</f>
        <v/>
      </c>
      <c r="W81" s="1296" t="str">
        <f>IFERROR(($E81*(VLOOKUP($C81&amp;"|"&amp;$D81,'Carbon factors'!$D$7:$H$361,5,0))),"")</f>
        <v/>
      </c>
    </row>
    <row r="82" spans="1:29" x14ac:dyDescent="0.35">
      <c r="A82" s="1812"/>
      <c r="B82" s="824"/>
      <c r="C82" s="850"/>
      <c r="D82" s="574"/>
      <c r="E82" s="574"/>
      <c r="F82" s="186"/>
      <c r="G82" s="664" t="str" cm="1">
        <f t="array" ref="G82">IFERROR((_xlfn.IFS(F82=$AC$15,"3",F82=$AC$16,"2",F82=$AC$17,"1",F82=$AC$18,"1"))*E82,"")</f>
        <v/>
      </c>
      <c r="H82" s="166"/>
      <c r="I82" s="198"/>
      <c r="J82" s="183" t="str">
        <f>IFERROR(H82/VLOOKUP(I82,'$ Conversion'!$A$9:$B$40,2,0),"")</f>
        <v/>
      </c>
      <c r="K82" s="200"/>
      <c r="L82" s="819" t="str">
        <f>IFERROR(VLOOKUP(B82,Buildings!$B$9:$H$41,3,0),"")</f>
        <v/>
      </c>
      <c r="M82" s="449" t="str">
        <f>IFERROR(VLOOKUP(B82,Buildings!$B$9:$H$41,7,0),"")</f>
        <v/>
      </c>
      <c r="N82" s="1553" t="str">
        <f>IFERROR(VLOOKUP($C82&amp;"|"&amp;$D82,'Carbon factors'!$D$7:$E$361,2,0),"")</f>
        <v/>
      </c>
      <c r="O82" s="851" t="str">
        <f t="shared" si="4"/>
        <v/>
      </c>
      <c r="P82" s="179" t="str" cm="1">
        <f t="array" ref="P82">IFERROR(_xlfn.IFS(L82="Y","Scope 1",L82="N","Scope 3",L82="Unknown","Manually Select Scope -&gt;"),"")</f>
        <v/>
      </c>
      <c r="Q82" s="1229"/>
      <c r="R82" s="674" t="str">
        <f t="shared" si="5"/>
        <v/>
      </c>
      <c r="U82" s="1297" t="str">
        <f>IFERROR(($E82*(VLOOKUP($C82&amp;"|"&amp;$D82,'Carbon factors'!$D$7:$H$361,3,0))),"")</f>
        <v/>
      </c>
      <c r="V82" s="183" t="str">
        <f>IFERROR(($E82*(VLOOKUP($C82&amp;"|"&amp;$D82,'Carbon factors'!$D$7:$H$361,4,0))),"")</f>
        <v/>
      </c>
      <c r="W82" s="1296" t="str">
        <f>IFERROR(($E82*(VLOOKUP($C82&amp;"|"&amp;$D82,'Carbon factors'!$D$7:$H$361,5,0))),"")</f>
        <v/>
      </c>
    </row>
    <row r="83" spans="1:29" x14ac:dyDescent="0.35">
      <c r="A83" s="1812"/>
      <c r="B83" s="824"/>
      <c r="C83" s="850"/>
      <c r="D83" s="574"/>
      <c r="E83" s="574"/>
      <c r="F83" s="186"/>
      <c r="G83" s="664" t="str" cm="1">
        <f t="array" ref="G83">IFERROR((_xlfn.IFS(F83=$AC$15,"3",F83=$AC$16,"2",F83=$AC$17,"1",F83=$AC$18,"1"))*E83,"")</f>
        <v/>
      </c>
      <c r="H83" s="166"/>
      <c r="I83" s="198"/>
      <c r="J83" s="183" t="str">
        <f>IFERROR(H83/VLOOKUP(I83,'$ Conversion'!$A$9:$B$40,2,0),"")</f>
        <v/>
      </c>
      <c r="K83" s="200"/>
      <c r="L83" s="819" t="str">
        <f>IFERROR(VLOOKUP(B83,Buildings!$B$9:$H$41,3,0),"")</f>
        <v/>
      </c>
      <c r="M83" s="449" t="str">
        <f>IFERROR(VLOOKUP(B83,Buildings!$B$9:$H$41,7,0),"")</f>
        <v/>
      </c>
      <c r="N83" s="1553" t="str">
        <f>IFERROR(VLOOKUP($C83&amp;"|"&amp;$D83,'Carbon factors'!$D$7:$E$361,2,0),"")</f>
        <v/>
      </c>
      <c r="O83" s="851" t="str">
        <f t="shared" si="4"/>
        <v/>
      </c>
      <c r="P83" s="819" t="str" cm="1">
        <f t="array" ref="P83">IFERROR(_xlfn.IFS(L83="Y","Scope 1",L83="N","Scope 3",L83="Unknown","Manually Select Scope -&gt;"),"")</f>
        <v/>
      </c>
      <c r="Q83" s="1229"/>
      <c r="R83" s="674" t="str">
        <f t="shared" si="5"/>
        <v/>
      </c>
      <c r="U83" s="1297" t="str">
        <f>IFERROR(($E83*(VLOOKUP($C83&amp;"|"&amp;$D83,'Carbon factors'!$D$7:$H$361,3,0))),"")</f>
        <v/>
      </c>
      <c r="V83" s="183" t="str">
        <f>IFERROR(($E83*(VLOOKUP($C83&amp;"|"&amp;$D83,'Carbon factors'!$D$7:$H$361,4,0))),"")</f>
        <v/>
      </c>
      <c r="W83" s="1296" t="str">
        <f>IFERROR(($E83*(VLOOKUP($C83&amp;"|"&amp;$D83,'Carbon factors'!$D$7:$H$361,5,0))),"")</f>
        <v/>
      </c>
    </row>
    <row r="84" spans="1:29" x14ac:dyDescent="0.35">
      <c r="A84" s="1812"/>
      <c r="B84" s="824"/>
      <c r="C84" s="850"/>
      <c r="D84" s="574"/>
      <c r="E84" s="574"/>
      <c r="F84" s="186"/>
      <c r="G84" s="664" t="str" cm="1">
        <f t="array" ref="G84">IFERROR((_xlfn.IFS(F84=$AC$15,"3",F84=$AC$16,"2",F84=$AC$17,"1",F84=$AC$18,"1"))*E84,"")</f>
        <v/>
      </c>
      <c r="H84" s="166"/>
      <c r="I84" s="198"/>
      <c r="J84" s="183" t="str">
        <f>IFERROR(H84/VLOOKUP(I84,'$ Conversion'!$A$9:$B$40,2,0),"")</f>
        <v/>
      </c>
      <c r="K84" s="200"/>
      <c r="L84" s="819" t="str">
        <f>IFERROR(VLOOKUP(B84,Buildings!$B$9:$H$41,3,0),"")</f>
        <v/>
      </c>
      <c r="M84" s="449" t="str">
        <f>IFERROR(VLOOKUP(B84,Buildings!$B$9:$H$41,7,0),"")</f>
        <v/>
      </c>
      <c r="N84" s="1553" t="str">
        <f>IFERROR(VLOOKUP($C84&amp;"|"&amp;$D84,'Carbon factors'!$D$7:$E$361,2,0),"")</f>
        <v/>
      </c>
      <c r="O84" s="851" t="str">
        <f t="shared" si="4"/>
        <v/>
      </c>
      <c r="P84" s="819" t="str" cm="1">
        <f t="array" ref="P84">IFERROR(_xlfn.IFS(L84="Y","Scope 1",L84="N","Scope 3",L84="Unknown","Manually Select Scope -&gt;"),"")</f>
        <v/>
      </c>
      <c r="Q84" s="1229"/>
      <c r="R84" s="674" t="str">
        <f t="shared" si="5"/>
        <v/>
      </c>
      <c r="U84" s="1297" t="str">
        <f>IFERROR(($E84*(VLOOKUP($C84&amp;"|"&amp;$D84,'Carbon factors'!$D$7:$H$361,3,0))),"")</f>
        <v/>
      </c>
      <c r="V84" s="183" t="str">
        <f>IFERROR(($E84*(VLOOKUP($C84&amp;"|"&amp;$D84,'Carbon factors'!$D$7:$H$361,4,0))),"")</f>
        <v/>
      </c>
      <c r="W84" s="1296" t="str">
        <f>IFERROR(($E84*(VLOOKUP($C84&amp;"|"&amp;$D84,'Carbon factors'!$D$7:$H$361,5,0))),"")</f>
        <v/>
      </c>
    </row>
    <row r="85" spans="1:29" x14ac:dyDescent="0.35">
      <c r="A85" s="1812"/>
      <c r="B85" s="824"/>
      <c r="C85" s="850"/>
      <c r="D85" s="574"/>
      <c r="E85" s="574"/>
      <c r="F85" s="186"/>
      <c r="G85" s="664" t="str" cm="1">
        <f t="array" ref="G85">IFERROR((_xlfn.IFS(F85=$AC$15,"3",F85=$AC$16,"2",F85=$AC$17,"1",F85=$AC$18,"1"))*E85,"")</f>
        <v/>
      </c>
      <c r="H85" s="166"/>
      <c r="I85" s="198"/>
      <c r="J85" s="183" t="str">
        <f>IFERROR(H85/VLOOKUP(I85,'$ Conversion'!$A$9:$B$40,2,0),"")</f>
        <v/>
      </c>
      <c r="K85" s="200"/>
      <c r="L85" s="819" t="str">
        <f>IFERROR(VLOOKUP(B85,Buildings!$B$9:$H$41,3,0),"")</f>
        <v/>
      </c>
      <c r="M85" s="449" t="str">
        <f>IFERROR(VLOOKUP(B85,Buildings!$B$9:$H$41,7,0),"")</f>
        <v/>
      </c>
      <c r="N85" s="1553" t="str">
        <f>IFERROR(VLOOKUP($C85&amp;"|"&amp;$D85,'Carbon factors'!$D$7:$E$361,2,0),"")</f>
        <v/>
      </c>
      <c r="O85" s="851" t="str">
        <f t="shared" si="4"/>
        <v/>
      </c>
      <c r="P85" s="819" t="str" cm="1">
        <f t="array" ref="P85">IFERROR(_xlfn.IFS(L85="Y","Scope 1",L85="N","Scope 3",L85="Unknown","Manually Select Scope -&gt;"),"")</f>
        <v/>
      </c>
      <c r="Q85" s="1229"/>
      <c r="R85" s="674" t="str">
        <f t="shared" si="5"/>
        <v/>
      </c>
      <c r="U85" s="1297" t="str">
        <f>IFERROR(($E85*(VLOOKUP($C85&amp;"|"&amp;$D85,'Carbon factors'!$D$7:$H$361,3,0))),"")</f>
        <v/>
      </c>
      <c r="V85" s="183" t="str">
        <f>IFERROR(($E85*(VLOOKUP($C85&amp;"|"&amp;$D85,'Carbon factors'!$D$7:$H$361,4,0))),"")</f>
        <v/>
      </c>
      <c r="W85" s="1296" t="str">
        <f>IFERROR(($E85*(VLOOKUP($C85&amp;"|"&amp;$D85,'Carbon factors'!$D$7:$H$361,5,0))),"")</f>
        <v/>
      </c>
    </row>
    <row r="86" spans="1:29" x14ac:dyDescent="0.35">
      <c r="A86" s="1812"/>
      <c r="B86" s="824"/>
      <c r="C86" s="850"/>
      <c r="D86" s="574"/>
      <c r="E86" s="574"/>
      <c r="F86" s="186"/>
      <c r="G86" s="664" t="str" cm="1">
        <f t="array" ref="G86">IFERROR((_xlfn.IFS(F86=$AC$15,"3",F86=$AC$16,"2",F86=$AC$17,"1",F86=$AC$18,"1"))*E86,"")</f>
        <v/>
      </c>
      <c r="H86" s="166"/>
      <c r="I86" s="198"/>
      <c r="J86" s="183" t="str">
        <f>IFERROR(H86/VLOOKUP(I86,'$ Conversion'!$A$9:$B$40,2,0),"")</f>
        <v/>
      </c>
      <c r="K86" s="200"/>
      <c r="L86" s="819" t="str">
        <f>IFERROR(VLOOKUP(B86,Buildings!$B$9:$H$41,3,0),"")</f>
        <v/>
      </c>
      <c r="M86" s="449" t="str">
        <f>IFERROR(VLOOKUP(B86,Buildings!$B$9:$H$41,7,0),"")</f>
        <v/>
      </c>
      <c r="N86" s="1553" t="str">
        <f>IFERROR(VLOOKUP($C86&amp;"|"&amp;$D86,'Carbon factors'!$D$7:$E$361,2,0),"")</f>
        <v/>
      </c>
      <c r="O86" s="851" t="str">
        <f t="shared" si="4"/>
        <v/>
      </c>
      <c r="P86" s="819" t="str" cm="1">
        <f t="array" ref="P86">IFERROR(_xlfn.IFS(L86="Y","Scope 1",L86="N","Scope 3",L86="Unknown","Manually Select Scope -&gt;"),"")</f>
        <v/>
      </c>
      <c r="Q86" s="1229"/>
      <c r="R86" s="674" t="str">
        <f t="shared" si="5"/>
        <v/>
      </c>
      <c r="U86" s="1297" t="str">
        <f>IFERROR(($E86*(VLOOKUP($C86&amp;"|"&amp;$D86,'Carbon factors'!$D$7:$H$361,3,0))),"")</f>
        <v/>
      </c>
      <c r="V86" s="183" t="str">
        <f>IFERROR(($E86*(VLOOKUP($C86&amp;"|"&amp;$D86,'Carbon factors'!$D$7:$H$361,4,0))),"")</f>
        <v/>
      </c>
      <c r="W86" s="1296" t="str">
        <f>IFERROR(($E86*(VLOOKUP($C86&amp;"|"&amp;$D86,'Carbon factors'!$D$7:$H$361,5,0))),"")</f>
        <v/>
      </c>
    </row>
    <row r="87" spans="1:29" x14ac:dyDescent="0.35">
      <c r="A87" s="1812"/>
      <c r="B87" s="824"/>
      <c r="C87" s="850"/>
      <c r="D87" s="574"/>
      <c r="E87" s="574"/>
      <c r="F87" s="186"/>
      <c r="G87" s="664" t="str" cm="1">
        <f t="array" ref="G87">IFERROR((_xlfn.IFS(F87=$AC$15,"3",F87=$AC$16,"2",F87=$AC$17,"1",F87=$AC$18,"1"))*E87,"")</f>
        <v/>
      </c>
      <c r="H87" s="166"/>
      <c r="I87" s="198"/>
      <c r="J87" s="183" t="str">
        <f>IFERROR(H87/VLOOKUP(I87,'$ Conversion'!$A$9:$B$40,2,0),"")</f>
        <v/>
      </c>
      <c r="K87" s="200"/>
      <c r="L87" s="819" t="str">
        <f>IFERROR(VLOOKUP(B87,Buildings!$B$9:$H$41,3,0),"")</f>
        <v/>
      </c>
      <c r="M87" s="449" t="str">
        <f>IFERROR(VLOOKUP(B87,Buildings!$B$9:$H$41,7,0),"")</f>
        <v/>
      </c>
      <c r="N87" s="1553" t="str">
        <f>IFERROR(VLOOKUP($C87&amp;"|"&amp;$D87,'Carbon factors'!$D$7:$E$361,2,0),"")</f>
        <v/>
      </c>
      <c r="O87" s="851" t="str">
        <f t="shared" si="4"/>
        <v/>
      </c>
      <c r="P87" s="819" t="str" cm="1">
        <f t="array" ref="P87">IFERROR(_xlfn.IFS(L87="Y","Scope 1",L87="N","Scope 3",L87="Unknown","Manually Select Scope -&gt;"),"")</f>
        <v/>
      </c>
      <c r="Q87" s="1229"/>
      <c r="R87" s="674" t="str">
        <f t="shared" si="5"/>
        <v/>
      </c>
      <c r="U87" s="1297" t="str">
        <f>IFERROR(($E87*(VLOOKUP($C87&amp;"|"&amp;$D87,'Carbon factors'!$D$7:$H$361,3,0))),"")</f>
        <v/>
      </c>
      <c r="V87" s="183" t="str">
        <f>IFERROR(($E87*(VLOOKUP($C87&amp;"|"&amp;$D87,'Carbon factors'!$D$7:$H$361,4,0))),"")</f>
        <v/>
      </c>
      <c r="W87" s="1296" t="str">
        <f>IFERROR(($E87*(VLOOKUP($C87&amp;"|"&amp;$D87,'Carbon factors'!$D$7:$H$361,5,0))),"")</f>
        <v/>
      </c>
    </row>
    <row r="88" spans="1:29" x14ac:dyDescent="0.35">
      <c r="A88" s="1812"/>
      <c r="B88" s="824"/>
      <c r="C88" s="850"/>
      <c r="D88" s="574"/>
      <c r="E88" s="574"/>
      <c r="F88" s="186"/>
      <c r="G88" s="664" t="str" cm="1">
        <f t="array" ref="G88">IFERROR((_xlfn.IFS(F88=$AC$15,"3",F88=$AC$16,"2",F88=$AC$17,"1",F88=$AC$18,"1"))*E88,"")</f>
        <v/>
      </c>
      <c r="H88" s="166"/>
      <c r="I88" s="198"/>
      <c r="J88" s="183" t="str">
        <f>IFERROR(H88/VLOOKUP(I88,'$ Conversion'!$A$9:$B$40,2,0),"")</f>
        <v/>
      </c>
      <c r="K88" s="200"/>
      <c r="L88" s="819" t="str">
        <f>IFERROR(VLOOKUP(B88,Buildings!$B$9:$H$41,3,0),"")</f>
        <v/>
      </c>
      <c r="M88" s="449" t="str">
        <f>IFERROR(VLOOKUP(B88,Buildings!$B$9:$H$41,7,0),"")</f>
        <v/>
      </c>
      <c r="N88" s="1553" t="str">
        <f>IFERROR(VLOOKUP($C88&amp;"|"&amp;$D88,'Carbon factors'!$D$7:$E$361,2,0),"")</f>
        <v/>
      </c>
      <c r="O88" s="851" t="str">
        <f t="shared" si="4"/>
        <v/>
      </c>
      <c r="P88" s="819" t="str" cm="1">
        <f t="array" ref="P88">IFERROR(_xlfn.IFS(L88="Y","Scope 1",L88="N","Scope 3",L88="Unknown","Manually Select Scope -&gt;"),"")</f>
        <v/>
      </c>
      <c r="Q88" s="1229"/>
      <c r="R88" s="674" t="str">
        <f t="shared" si="5"/>
        <v/>
      </c>
      <c r="U88" s="1297" t="str">
        <f>IFERROR(($E88*(VLOOKUP($C88&amp;"|"&amp;$D88,'Carbon factors'!$D$7:$H$361,3,0))),"")</f>
        <v/>
      </c>
      <c r="V88" s="183" t="str">
        <f>IFERROR(($E88*(VLOOKUP($C88&amp;"|"&amp;$D88,'Carbon factors'!$D$7:$H$361,4,0))),"")</f>
        <v/>
      </c>
      <c r="W88" s="1296" t="str">
        <f>IFERROR(($E88*(VLOOKUP($C88&amp;"|"&amp;$D88,'Carbon factors'!$D$7:$H$361,5,0))),"")</f>
        <v/>
      </c>
    </row>
    <row r="89" spans="1:29" x14ac:dyDescent="0.35">
      <c r="A89" s="1812"/>
      <c r="B89" s="824"/>
      <c r="C89" s="850"/>
      <c r="D89" s="574"/>
      <c r="E89" s="574"/>
      <c r="F89" s="186"/>
      <c r="G89" s="664" t="str" cm="1">
        <f t="array" ref="G89">IFERROR((_xlfn.IFS(F89=$AC$15,"3",F89=$AC$16,"2",F89=$AC$17,"1",F89=$AC$18,"1"))*E89,"")</f>
        <v/>
      </c>
      <c r="H89" s="166"/>
      <c r="I89" s="198"/>
      <c r="J89" s="183" t="str">
        <f>IFERROR(H89/VLOOKUP(I89,'$ Conversion'!$A$9:$B$40,2,0),"")</f>
        <v/>
      </c>
      <c r="K89" s="200"/>
      <c r="L89" s="819" t="str">
        <f>IFERROR(VLOOKUP(B89,Buildings!$B$9:$H$41,3,0),"")</f>
        <v/>
      </c>
      <c r="M89" s="449" t="str">
        <f>IFERROR(VLOOKUP(B89,Buildings!$B$9:$H$41,7,0),"")</f>
        <v/>
      </c>
      <c r="N89" s="1553" t="str">
        <f>IFERROR(VLOOKUP($C89&amp;"|"&amp;$D89,'Carbon factors'!$D$7:$E$361,2,0),"")</f>
        <v/>
      </c>
      <c r="O89" s="851" t="str">
        <f t="shared" si="4"/>
        <v/>
      </c>
      <c r="P89" s="819" t="str" cm="1">
        <f t="array" ref="P89">IFERROR(_xlfn.IFS(L89="Y","Scope 1",L89="N","Scope 3",L89="Unknown","Manually Select Scope -&gt;"),"")</f>
        <v/>
      </c>
      <c r="Q89" s="1229"/>
      <c r="R89" s="674" t="str">
        <f t="shared" si="5"/>
        <v/>
      </c>
      <c r="U89" s="1297" t="str">
        <f>IFERROR(($E89*(VLOOKUP($C89&amp;"|"&amp;$D89,'Carbon factors'!$D$7:$H$361,3,0))),"")</f>
        <v/>
      </c>
      <c r="V89" s="183" t="str">
        <f>IFERROR(($E89*(VLOOKUP($C89&amp;"|"&amp;$D89,'Carbon factors'!$D$7:$H$361,4,0))),"")</f>
        <v/>
      </c>
      <c r="W89" s="1296" t="str">
        <f>IFERROR(($E89*(VLOOKUP($C89&amp;"|"&amp;$D89,'Carbon factors'!$D$7:$H$361,5,0))),"")</f>
        <v/>
      </c>
      <c r="Y89" s="6"/>
      <c r="Z89" s="6"/>
      <c r="AA89" s="6"/>
      <c r="AC89" s="6"/>
    </row>
    <row r="90" spans="1:29" x14ac:dyDescent="0.35">
      <c r="A90" s="1812"/>
      <c r="B90" s="824"/>
      <c r="C90" s="850"/>
      <c r="D90" s="574"/>
      <c r="E90" s="574"/>
      <c r="F90" s="186"/>
      <c r="G90" s="664" t="str" cm="1">
        <f t="array" ref="G90">IFERROR((_xlfn.IFS(F90=$AC$15,"3",F90=$AC$16,"2",F90=$AC$17,"1",F90=$AC$18,"1"))*E90,"")</f>
        <v/>
      </c>
      <c r="H90" s="166"/>
      <c r="I90" s="198"/>
      <c r="J90" s="183" t="str">
        <f>IFERROR(H90/VLOOKUP(I90,'$ Conversion'!$A$9:$B$40,2,0),"")</f>
        <v/>
      </c>
      <c r="K90" s="200"/>
      <c r="L90" s="819" t="str">
        <f>IFERROR(VLOOKUP(B90,Buildings!$B$9:$H$41,3,0),"")</f>
        <v/>
      </c>
      <c r="M90" s="449" t="str">
        <f>IFERROR(VLOOKUP(B90,Buildings!$B$9:$H$41,7,0),"")</f>
        <v/>
      </c>
      <c r="N90" s="1553" t="str">
        <f>IFERROR(VLOOKUP($C90&amp;"|"&amp;$D90,'Carbon factors'!$D$7:$E$361,2,0),"")</f>
        <v/>
      </c>
      <c r="O90" s="851" t="str">
        <f t="shared" si="4"/>
        <v/>
      </c>
      <c r="P90" s="819" t="str" cm="1">
        <f t="array" ref="P90">IFERROR(_xlfn.IFS(L90="Y","Scope 1",L90="N","Scope 3",L90="Unknown","Manually Select Scope -&gt;"),"")</f>
        <v/>
      </c>
      <c r="Q90" s="1229"/>
      <c r="R90" s="674" t="str">
        <f t="shared" si="5"/>
        <v/>
      </c>
      <c r="U90" s="1297" t="str">
        <f>IFERROR(($E90*(VLOOKUP($C90&amp;"|"&amp;$D90,'Carbon factors'!$D$7:$H$361,3,0))),"")</f>
        <v/>
      </c>
      <c r="V90" s="183" t="str">
        <f>IFERROR(($E90*(VLOOKUP($C90&amp;"|"&amp;$D90,'Carbon factors'!$D$7:$H$361,4,0))),"")</f>
        <v/>
      </c>
      <c r="W90" s="1296" t="str">
        <f>IFERROR(($E90*(VLOOKUP($C90&amp;"|"&amp;$D90,'Carbon factors'!$D$7:$H$361,5,0))),"")</f>
        <v/>
      </c>
      <c r="Y90" s="7"/>
    </row>
    <row r="91" spans="1:29" x14ac:dyDescent="0.35">
      <c r="A91" s="1812"/>
      <c r="B91" s="824"/>
      <c r="C91" s="850"/>
      <c r="D91" s="574"/>
      <c r="E91" s="574"/>
      <c r="F91" s="186"/>
      <c r="G91" s="664" t="str" cm="1">
        <f t="array" ref="G91">IFERROR((_xlfn.IFS(F91=$AC$15,"3",F91=$AC$16,"2",F91=$AC$17,"1",F91=$AC$18,"1"))*E91,"")</f>
        <v/>
      </c>
      <c r="H91" s="166"/>
      <c r="I91" s="198"/>
      <c r="J91" s="183" t="str">
        <f>IFERROR(H91/VLOOKUP(I91,'$ Conversion'!$A$9:$B$40,2,0),"")</f>
        <v/>
      </c>
      <c r="K91" s="200"/>
      <c r="L91" s="819" t="str">
        <f>IFERROR(VLOOKUP(B91,Buildings!$B$9:$H$41,3,0),"")</f>
        <v/>
      </c>
      <c r="M91" s="449" t="str">
        <f>IFERROR(VLOOKUP(B91,Buildings!$B$9:$H$41,7,0),"")</f>
        <v/>
      </c>
      <c r="N91" s="1553" t="str">
        <f>IFERROR(VLOOKUP($C91&amp;"|"&amp;$D91,'Carbon factors'!$D$7:$E$361,2,0),"")</f>
        <v/>
      </c>
      <c r="O91" s="851" t="str">
        <f t="shared" si="4"/>
        <v/>
      </c>
      <c r="P91" s="819" t="str" cm="1">
        <f t="array" ref="P91">IFERROR(_xlfn.IFS(L91="Y","Scope 1",L91="N","Scope 3",L91="Unknown","Manually Select Scope -&gt;"),"")</f>
        <v/>
      </c>
      <c r="Q91" s="1229"/>
      <c r="R91" s="674" t="str">
        <f t="shared" si="5"/>
        <v/>
      </c>
      <c r="U91" s="1297" t="str">
        <f>IFERROR(($E91*(VLOOKUP($C91&amp;"|"&amp;$D91,'Carbon factors'!$D$7:$H$361,3,0))),"")</f>
        <v/>
      </c>
      <c r="V91" s="183" t="str">
        <f>IFERROR(($E91*(VLOOKUP($C91&amp;"|"&amp;$D91,'Carbon factors'!$D$7:$H$361,4,0))),"")</f>
        <v/>
      </c>
      <c r="W91" s="1296" t="str">
        <f>IFERROR(($E91*(VLOOKUP($C91&amp;"|"&amp;$D91,'Carbon factors'!$D$7:$H$361,5,0))),"")</f>
        <v/>
      </c>
    </row>
    <row r="92" spans="1:29" x14ac:dyDescent="0.35">
      <c r="A92" s="1812"/>
      <c r="B92" s="824"/>
      <c r="C92" s="850"/>
      <c r="D92" s="574"/>
      <c r="E92" s="574"/>
      <c r="F92" s="186"/>
      <c r="G92" s="664" t="str" cm="1">
        <f t="array" ref="G92">IFERROR((_xlfn.IFS(F92=$AC$15,"3",F92=$AC$16,"2",F92=$AC$17,"1",F92=$AC$18,"1"))*E92,"")</f>
        <v/>
      </c>
      <c r="H92" s="166"/>
      <c r="I92" s="198"/>
      <c r="J92" s="183" t="str">
        <f>IFERROR(H92/VLOOKUP(I92,'$ Conversion'!$A$9:$B$40,2,0),"")</f>
        <v/>
      </c>
      <c r="K92" s="200"/>
      <c r="L92" s="819" t="str">
        <f>IFERROR(VLOOKUP(B92,Buildings!$B$9:$H$41,3,0),"")</f>
        <v/>
      </c>
      <c r="M92" s="449" t="str">
        <f>IFERROR(VLOOKUP(B92,Buildings!$B$9:$H$41,7,0),"")</f>
        <v/>
      </c>
      <c r="N92" s="1553" t="str">
        <f>IFERROR(VLOOKUP($C92&amp;"|"&amp;$D92,'Carbon factors'!$D$7:$E$361,2,0),"")</f>
        <v/>
      </c>
      <c r="O92" s="851" t="str">
        <f t="shared" si="4"/>
        <v/>
      </c>
      <c r="P92" s="819" t="str" cm="1">
        <f t="array" ref="P92">IFERROR(_xlfn.IFS(L92="Y","Scope 1",L92="N","Scope 3",L92="Unknown","Manually Select Scope -&gt;"),"")</f>
        <v/>
      </c>
      <c r="Q92" s="1229"/>
      <c r="R92" s="674" t="str">
        <f t="shared" si="5"/>
        <v/>
      </c>
      <c r="U92" s="1297" t="str">
        <f>IFERROR(($E92*(VLOOKUP($C92&amp;"|"&amp;$D92,'Carbon factors'!$D$7:$H$361,3,0))),"")</f>
        <v/>
      </c>
      <c r="V92" s="183" t="str">
        <f>IFERROR(($E92*(VLOOKUP($C92&amp;"|"&amp;$D92,'Carbon factors'!$D$7:$H$361,4,0))),"")</f>
        <v/>
      </c>
      <c r="W92" s="1296" t="str">
        <f>IFERROR(($E92*(VLOOKUP($C92&amp;"|"&amp;$D92,'Carbon factors'!$D$7:$H$361,5,0))),"")</f>
        <v/>
      </c>
      <c r="AB92" s="6"/>
    </row>
    <row r="93" spans="1:29" x14ac:dyDescent="0.35">
      <c r="A93" s="1812"/>
      <c r="B93" s="824"/>
      <c r="C93" s="850"/>
      <c r="D93" s="574"/>
      <c r="E93" s="574"/>
      <c r="F93" s="186"/>
      <c r="G93" s="664" t="str" cm="1">
        <f t="array" ref="G93">IFERROR((_xlfn.IFS(F93=$AC$15,"3",F93=$AC$16,"2",F93=$AC$17,"1",F93=$AC$18,"1"))*E93,"")</f>
        <v/>
      </c>
      <c r="H93" s="166"/>
      <c r="I93" s="198"/>
      <c r="J93" s="183" t="str">
        <f>IFERROR(H93/VLOOKUP(I93,'$ Conversion'!$A$9:$B$40,2,0),"")</f>
        <v/>
      </c>
      <c r="K93" s="200"/>
      <c r="L93" s="819" t="str">
        <f>IFERROR(VLOOKUP(B93,Buildings!$B$9:$H$41,3,0),"")</f>
        <v/>
      </c>
      <c r="M93" s="449" t="str">
        <f>IFERROR(VLOOKUP(B93,Buildings!$B$9:$H$41,7,0),"")</f>
        <v/>
      </c>
      <c r="N93" s="1553" t="str">
        <f>IFERROR(VLOOKUP($C93&amp;"|"&amp;$D93,'Carbon factors'!$D$7:$E$361,2,0),"")</f>
        <v/>
      </c>
      <c r="O93" s="851" t="str">
        <f t="shared" si="4"/>
        <v/>
      </c>
      <c r="P93" s="819" t="str" cm="1">
        <f t="array" ref="P93">IFERROR(_xlfn.IFS(L93="Y","Scope 1",L93="N","Scope 3",L93="Unknown","Manually Select Scope -&gt;"),"")</f>
        <v/>
      </c>
      <c r="Q93" s="1229"/>
      <c r="R93" s="674" t="str">
        <f t="shared" si="5"/>
        <v/>
      </c>
      <c r="U93" s="1297" t="str">
        <f>IFERROR(($E93*(VLOOKUP($C93&amp;"|"&amp;$D93,'Carbon factors'!$D$7:$H$361,3,0))),"")</f>
        <v/>
      </c>
      <c r="V93" s="183" t="str">
        <f>IFERROR(($E93*(VLOOKUP($C93&amp;"|"&amp;$D93,'Carbon factors'!$D$7:$H$361,4,0))),"")</f>
        <v/>
      </c>
      <c r="W93" s="1296" t="str">
        <f>IFERROR(($E93*(VLOOKUP($C93&amp;"|"&amp;$D93,'Carbon factors'!$D$7:$H$361,5,0))),"")</f>
        <v/>
      </c>
    </row>
    <row r="94" spans="1:29" x14ac:dyDescent="0.35">
      <c r="A94" s="1812"/>
      <c r="B94" s="824"/>
      <c r="C94" s="850"/>
      <c r="D94" s="574"/>
      <c r="E94" s="574"/>
      <c r="F94" s="186"/>
      <c r="G94" s="664" t="str" cm="1">
        <f t="array" ref="G94">IFERROR((_xlfn.IFS(F94=$AC$15,"3",F94=$AC$16,"2",F94=$AC$17,"1",F94=$AC$18,"1"))*E94,"")</f>
        <v/>
      </c>
      <c r="H94" s="166"/>
      <c r="I94" s="198"/>
      <c r="J94" s="183" t="str">
        <f>IFERROR(H94/VLOOKUP(I94,'$ Conversion'!$A$9:$B$40,2,0),"")</f>
        <v/>
      </c>
      <c r="K94" s="200"/>
      <c r="L94" s="819" t="str">
        <f>IFERROR(VLOOKUP(B94,Buildings!$B$9:$H$41,3,0),"")</f>
        <v/>
      </c>
      <c r="M94" s="449" t="str">
        <f>IFERROR(VLOOKUP(B94,Buildings!$B$9:$H$41,7,0),"")</f>
        <v/>
      </c>
      <c r="N94" s="1553" t="str">
        <f>IFERROR(VLOOKUP($C94&amp;"|"&amp;$D94,'Carbon factors'!$D$7:$E$361,2,0),"")</f>
        <v/>
      </c>
      <c r="O94" s="851" t="str">
        <f t="shared" si="4"/>
        <v/>
      </c>
      <c r="P94" s="819" t="str" cm="1">
        <f t="array" ref="P94">IFERROR(_xlfn.IFS(L94="Y","Scope 1",L94="N","Scope 3",L94="Unknown","Manually Select Scope -&gt;"),"")</f>
        <v/>
      </c>
      <c r="Q94" s="1229"/>
      <c r="R94" s="674" t="str">
        <f t="shared" si="5"/>
        <v/>
      </c>
      <c r="U94" s="1297" t="str">
        <f>IFERROR(($E94*(VLOOKUP($C94&amp;"|"&amp;$D94,'Carbon factors'!$D$7:$H$361,3,0))),"")</f>
        <v/>
      </c>
      <c r="V94" s="183" t="str">
        <f>IFERROR(($E94*(VLOOKUP($C94&amp;"|"&amp;$D94,'Carbon factors'!$D$7:$H$361,4,0))),"")</f>
        <v/>
      </c>
      <c r="W94" s="1296" t="str">
        <f>IFERROR(($E94*(VLOOKUP($C94&amp;"|"&amp;$D94,'Carbon factors'!$D$7:$H$361,5,0))),"")</f>
        <v/>
      </c>
    </row>
    <row r="95" spans="1:29" x14ac:dyDescent="0.35">
      <c r="A95" s="1812"/>
      <c r="B95" s="824"/>
      <c r="C95" s="850"/>
      <c r="D95" s="574"/>
      <c r="E95" s="574"/>
      <c r="F95" s="186"/>
      <c r="G95" s="664" t="str" cm="1">
        <f t="array" ref="G95">IFERROR((_xlfn.IFS(F95=$AC$15,"3",F95=$AC$16,"2",F95=$AC$17,"1",F95=$AC$18,"1"))*E95,"")</f>
        <v/>
      </c>
      <c r="H95" s="166"/>
      <c r="I95" s="198"/>
      <c r="J95" s="183" t="str">
        <f>IFERROR(H95/VLOOKUP(I95,'$ Conversion'!$A$9:$B$40,2,0),"")</f>
        <v/>
      </c>
      <c r="K95" s="200"/>
      <c r="L95" s="819" t="str">
        <f>IFERROR(VLOOKUP(B95,Buildings!$B$9:$H$41,3,0),"")</f>
        <v/>
      </c>
      <c r="M95" s="449" t="str">
        <f>IFERROR(VLOOKUP(B95,Buildings!$B$9:$H$41,7,0),"")</f>
        <v/>
      </c>
      <c r="N95" s="1553" t="str">
        <f>IFERROR(VLOOKUP($C95&amp;"|"&amp;$D95,'Carbon factors'!$D$7:$E$361,2,0),"")</f>
        <v/>
      </c>
      <c r="O95" s="851" t="str">
        <f t="shared" si="4"/>
        <v/>
      </c>
      <c r="P95" s="819" t="str" cm="1">
        <f t="array" ref="P95">IFERROR(_xlfn.IFS(L95="Y","Scope 1",L95="N","Scope 3",L95="Unknown","Manually Select Scope -&gt;"),"")</f>
        <v/>
      </c>
      <c r="Q95" s="1229"/>
      <c r="R95" s="674" t="str">
        <f t="shared" si="5"/>
        <v/>
      </c>
      <c r="U95" s="1297" t="str">
        <f>IFERROR(($E95*(VLOOKUP($C95&amp;"|"&amp;$D95,'Carbon factors'!$D$7:$H$361,3,0))),"")</f>
        <v/>
      </c>
      <c r="V95" s="183" t="str">
        <f>IFERROR(($E95*(VLOOKUP($C95&amp;"|"&amp;$D95,'Carbon factors'!$D$7:$H$361,4,0))),"")</f>
        <v/>
      </c>
      <c r="W95" s="1296" t="str">
        <f>IFERROR(($E95*(VLOOKUP($C95&amp;"|"&amp;$D95,'Carbon factors'!$D$7:$H$361,5,0))),"")</f>
        <v/>
      </c>
    </row>
    <row r="96" spans="1:29" x14ac:dyDescent="0.35">
      <c r="A96" s="1812"/>
      <c r="B96" s="824"/>
      <c r="C96" s="850"/>
      <c r="D96" s="574"/>
      <c r="E96" s="574"/>
      <c r="F96" s="186"/>
      <c r="G96" s="664" t="str" cm="1">
        <f t="array" ref="G96">IFERROR((_xlfn.IFS(F96=$AC$15,"3",F96=$AC$16,"2",F96=$AC$17,"1",F96=$AC$18,"1"))*E96,"")</f>
        <v/>
      </c>
      <c r="H96" s="166"/>
      <c r="I96" s="198"/>
      <c r="J96" s="183" t="str">
        <f>IFERROR(H96/VLOOKUP(I96,'$ Conversion'!$A$9:$B$40,2,0),"")</f>
        <v/>
      </c>
      <c r="K96" s="200"/>
      <c r="L96" s="819" t="str">
        <f>IFERROR(VLOOKUP(B96,Buildings!$B$9:$H$41,3,0),"")</f>
        <v/>
      </c>
      <c r="M96" s="449" t="str">
        <f>IFERROR(VLOOKUP(B96,Buildings!$B$9:$H$41,7,0),"")</f>
        <v/>
      </c>
      <c r="N96" s="1553" t="str">
        <f>IFERROR(VLOOKUP($C96&amp;"|"&amp;$D96,'Carbon factors'!$D$7:$E$361,2,0),"")</f>
        <v/>
      </c>
      <c r="O96" s="851" t="str">
        <f t="shared" si="4"/>
        <v/>
      </c>
      <c r="P96" s="819" t="str" cm="1">
        <f t="array" ref="P96">IFERROR(_xlfn.IFS(L96="Y","Scope 1",L96="N","Scope 3",L96="Unknown","Manually Select Scope -&gt;"),"")</f>
        <v/>
      </c>
      <c r="Q96" s="1229"/>
      <c r="R96" s="674" t="str">
        <f t="shared" si="5"/>
        <v/>
      </c>
      <c r="U96" s="1297" t="str">
        <f>IFERROR(($E96*(VLOOKUP($C96&amp;"|"&amp;$D96,'Carbon factors'!$D$7:$H$361,3,0))),"")</f>
        <v/>
      </c>
      <c r="V96" s="183" t="str">
        <f>IFERROR(($E96*(VLOOKUP($C96&amp;"|"&amp;$D96,'Carbon factors'!$D$7:$H$361,4,0))),"")</f>
        <v/>
      </c>
      <c r="W96" s="1296" t="str">
        <f>IFERROR(($E96*(VLOOKUP($C96&amp;"|"&amp;$D96,'Carbon factors'!$D$7:$H$361,5,0))),"")</f>
        <v/>
      </c>
    </row>
    <row r="97" spans="1:23" x14ac:dyDescent="0.35">
      <c r="A97" s="1812"/>
      <c r="B97" s="824"/>
      <c r="C97" s="850"/>
      <c r="D97" s="574"/>
      <c r="E97" s="574"/>
      <c r="F97" s="186"/>
      <c r="G97" s="664" t="str" cm="1">
        <f t="array" ref="G97">IFERROR((_xlfn.IFS(F97=$AC$15,"3",F97=$AC$16,"2",F97=$AC$17,"1",F97=$AC$18,"1"))*E97,"")</f>
        <v/>
      </c>
      <c r="H97" s="166"/>
      <c r="I97" s="198"/>
      <c r="J97" s="183" t="str">
        <f>IFERROR(H97/VLOOKUP(I97,'$ Conversion'!$A$9:$B$40,2,0),"")</f>
        <v/>
      </c>
      <c r="K97" s="200"/>
      <c r="L97" s="819" t="str">
        <f>IFERROR(VLOOKUP(B97,Buildings!$B$9:$H$41,3,0),"")</f>
        <v/>
      </c>
      <c r="M97" s="449" t="str">
        <f>IFERROR(VLOOKUP(B97,Buildings!$B$9:$H$41,7,0),"")</f>
        <v/>
      </c>
      <c r="N97" s="1553" t="str">
        <f>IFERROR(VLOOKUP($C97&amp;"|"&amp;$D97,'Carbon factors'!$D$7:$E$361,2,0),"")</f>
        <v/>
      </c>
      <c r="O97" s="851" t="str">
        <f t="shared" si="4"/>
        <v/>
      </c>
      <c r="P97" s="819" t="str" cm="1">
        <f t="array" ref="P97">IFERROR(_xlfn.IFS(L97="Y","Scope 1",L97="N","Scope 3",L97="Unknown","Manually Select Scope -&gt;"),"")</f>
        <v/>
      </c>
      <c r="Q97" s="1229"/>
      <c r="R97" s="674" t="str">
        <f t="shared" si="5"/>
        <v/>
      </c>
      <c r="U97" s="1297" t="str">
        <f>IFERROR(($E97*(VLOOKUP($C97&amp;"|"&amp;$D97,'Carbon factors'!$D$7:$H$361,3,0))),"")</f>
        <v/>
      </c>
      <c r="V97" s="183" t="str">
        <f>IFERROR(($E97*(VLOOKUP($C97&amp;"|"&amp;$D97,'Carbon factors'!$D$7:$H$361,4,0))),"")</f>
        <v/>
      </c>
      <c r="W97" s="1296" t="str">
        <f>IFERROR(($E97*(VLOOKUP($C97&amp;"|"&amp;$D97,'Carbon factors'!$D$7:$H$361,5,0))),"")</f>
        <v/>
      </c>
    </row>
    <row r="98" spans="1:23" x14ac:dyDescent="0.35">
      <c r="A98" s="1812"/>
      <c r="B98" s="824"/>
      <c r="C98" s="850"/>
      <c r="D98" s="574"/>
      <c r="E98" s="574"/>
      <c r="F98" s="186"/>
      <c r="G98" s="664" t="str" cm="1">
        <f t="array" ref="G98">IFERROR((_xlfn.IFS(F98=$AC$15,"3",F98=$AC$16,"2",F98=$AC$17,"1",F98=$AC$18,"1"))*E98,"")</f>
        <v/>
      </c>
      <c r="H98" s="166"/>
      <c r="I98" s="198"/>
      <c r="J98" s="183" t="str">
        <f>IFERROR(H98/VLOOKUP(I98,'$ Conversion'!$A$9:$B$40,2,0),"")</f>
        <v/>
      </c>
      <c r="K98" s="200"/>
      <c r="L98" s="819" t="str">
        <f>IFERROR(VLOOKUP(B98,Buildings!$B$9:$H$41,3,0),"")</f>
        <v/>
      </c>
      <c r="M98" s="449" t="str">
        <f>IFERROR(VLOOKUP(B98,Buildings!$B$9:$H$41,7,0),"")</f>
        <v/>
      </c>
      <c r="N98" s="1553" t="str">
        <f>IFERROR(VLOOKUP($C98&amp;"|"&amp;$D98,'Carbon factors'!$D$7:$E$361,2,0),"")</f>
        <v/>
      </c>
      <c r="O98" s="851" t="str">
        <f t="shared" si="4"/>
        <v/>
      </c>
      <c r="P98" s="819" t="str" cm="1">
        <f t="array" ref="P98">IFERROR(_xlfn.IFS(L98="Y","Scope 1",L98="N","Scope 3",L98="Unknown","Manually Select Scope -&gt;"),"")</f>
        <v/>
      </c>
      <c r="Q98" s="1229"/>
      <c r="R98" s="674" t="str">
        <f t="shared" si="5"/>
        <v/>
      </c>
      <c r="U98" s="1297" t="str">
        <f>IFERROR(($E98*(VLOOKUP($C98&amp;"|"&amp;$D98,'Carbon factors'!$D$7:$H$361,3,0))),"")</f>
        <v/>
      </c>
      <c r="V98" s="183" t="str">
        <f>IFERROR(($E98*(VLOOKUP($C98&amp;"|"&amp;$D98,'Carbon factors'!$D$7:$H$361,4,0))),"")</f>
        <v/>
      </c>
      <c r="W98" s="1296" t="str">
        <f>IFERROR(($E98*(VLOOKUP($C98&amp;"|"&amp;$D98,'Carbon factors'!$D$7:$H$361,5,0))),"")</f>
        <v/>
      </c>
    </row>
    <row r="99" spans="1:23" x14ac:dyDescent="0.35">
      <c r="A99" s="1812"/>
      <c r="B99" s="824"/>
      <c r="C99" s="850"/>
      <c r="D99" s="574"/>
      <c r="E99" s="574"/>
      <c r="F99" s="186"/>
      <c r="G99" s="664" t="str" cm="1">
        <f t="array" ref="G99">IFERROR((_xlfn.IFS(F99=$AC$15,"3",F99=$AC$16,"2",F99=$AC$17,"1",F99=$AC$18,"1"))*E99,"")</f>
        <v/>
      </c>
      <c r="H99" s="166"/>
      <c r="I99" s="198"/>
      <c r="J99" s="183" t="str">
        <f>IFERROR(H99/VLOOKUP(I99,'$ Conversion'!$A$9:$B$40,2,0),"")</f>
        <v/>
      </c>
      <c r="K99" s="200"/>
      <c r="L99" s="819" t="str">
        <f>IFERROR(VLOOKUP(B99,Buildings!$B$9:$H$41,3,0),"")</f>
        <v/>
      </c>
      <c r="M99" s="449" t="str">
        <f>IFERROR(VLOOKUP(B99,Buildings!$B$9:$H$41,7,0),"")</f>
        <v/>
      </c>
      <c r="N99" s="1553" t="str">
        <f>IFERROR(VLOOKUP($C99&amp;"|"&amp;$D99,'Carbon factors'!$D$7:$E$361,2,0),"")</f>
        <v/>
      </c>
      <c r="O99" s="851" t="str">
        <f t="shared" si="4"/>
        <v/>
      </c>
      <c r="P99" s="819" t="str" cm="1">
        <f t="array" ref="P99">IFERROR(_xlfn.IFS(L99="Y","Scope 1",L99="N","Scope 3",L99="Unknown","Manually Select Scope -&gt;"),"")</f>
        <v/>
      </c>
      <c r="Q99" s="1229"/>
      <c r="R99" s="674" t="str">
        <f t="shared" si="5"/>
        <v/>
      </c>
      <c r="U99" s="1297" t="str">
        <f>IFERROR(($E99*(VLOOKUP($C99&amp;"|"&amp;$D99,'Carbon factors'!$D$7:$H$361,3,0))),"")</f>
        <v/>
      </c>
      <c r="V99" s="183" t="str">
        <f>IFERROR(($E99*(VLOOKUP($C99&amp;"|"&amp;$D99,'Carbon factors'!$D$7:$H$361,4,0))),"")</f>
        <v/>
      </c>
      <c r="W99" s="1296" t="str">
        <f>IFERROR(($E99*(VLOOKUP($C99&amp;"|"&amp;$D99,'Carbon factors'!$D$7:$H$361,5,0))),"")</f>
        <v/>
      </c>
    </row>
    <row r="100" spans="1:23" x14ac:dyDescent="0.35">
      <c r="A100" s="1812"/>
      <c r="B100" s="824"/>
      <c r="C100" s="850"/>
      <c r="D100" s="574"/>
      <c r="E100" s="574"/>
      <c r="F100" s="186"/>
      <c r="G100" s="664" t="str" cm="1">
        <f t="array" ref="G100">IFERROR((_xlfn.IFS(F100=$AC$15,"3",F100=$AC$16,"2",F100=$AC$17,"1",F100=$AC$18,"1"))*E100,"")</f>
        <v/>
      </c>
      <c r="H100" s="166"/>
      <c r="I100" s="198"/>
      <c r="J100" s="183" t="str">
        <f>IFERROR(H100/VLOOKUP(I100,'$ Conversion'!$A$9:$B$40,2,0),"")</f>
        <v/>
      </c>
      <c r="K100" s="200"/>
      <c r="L100" s="819" t="str">
        <f>IFERROR(VLOOKUP(B100,Buildings!$B$9:$H$41,3,0),"")</f>
        <v/>
      </c>
      <c r="M100" s="449" t="str">
        <f>IFERROR(VLOOKUP(B100,Buildings!$B$9:$H$41,7,0),"")</f>
        <v/>
      </c>
      <c r="N100" s="1553" t="str">
        <f>IFERROR(VLOOKUP($C100&amp;"|"&amp;$D100,'Carbon factors'!$D$7:$E$361,2,0),"")</f>
        <v/>
      </c>
      <c r="O100" s="851" t="str">
        <f t="shared" si="4"/>
        <v/>
      </c>
      <c r="P100" s="819" t="str" cm="1">
        <f t="array" ref="P100">IFERROR(_xlfn.IFS(L100="Y","Scope 1",L100="N","Scope 3",L100="Unknown","Manually Select Scope -&gt;"),"")</f>
        <v/>
      </c>
      <c r="Q100" s="1229"/>
      <c r="R100" s="674" t="str">
        <f t="shared" si="5"/>
        <v/>
      </c>
      <c r="U100" s="1297" t="str">
        <f>IFERROR(($E100*(VLOOKUP($C100&amp;"|"&amp;$D100,'Carbon factors'!$D$7:$H$361,3,0))),"")</f>
        <v/>
      </c>
      <c r="V100" s="183" t="str">
        <f>IFERROR(($E100*(VLOOKUP($C100&amp;"|"&amp;$D100,'Carbon factors'!$D$7:$H$361,4,0))),"")</f>
        <v/>
      </c>
      <c r="W100" s="1296" t="str">
        <f>IFERROR(($E100*(VLOOKUP($C100&amp;"|"&amp;$D100,'Carbon factors'!$D$7:$H$361,5,0))),"")</f>
        <v/>
      </c>
    </row>
    <row r="101" spans="1:23" x14ac:dyDescent="0.35">
      <c r="A101" s="1812"/>
      <c r="B101" s="824"/>
      <c r="C101" s="850"/>
      <c r="D101" s="574"/>
      <c r="E101" s="574"/>
      <c r="F101" s="186"/>
      <c r="G101" s="664" t="str" cm="1">
        <f t="array" ref="G101">IFERROR((_xlfn.IFS(F101=$AC$15,"3",F101=$AC$16,"2",F101=$AC$17,"1",F101=$AC$18,"1"))*E101,"")</f>
        <v/>
      </c>
      <c r="H101" s="166"/>
      <c r="I101" s="198"/>
      <c r="J101" s="183" t="str">
        <f>IFERROR(H101/VLOOKUP(I101,'$ Conversion'!$A$9:$B$40,2,0),"")</f>
        <v/>
      </c>
      <c r="K101" s="200"/>
      <c r="L101" s="819" t="str">
        <f>IFERROR(VLOOKUP(B101,Buildings!$B$9:$H$41,3,0),"")</f>
        <v/>
      </c>
      <c r="M101" s="449" t="str">
        <f>IFERROR(VLOOKUP(B101,Buildings!$B$9:$H$41,7,0),"")</f>
        <v/>
      </c>
      <c r="N101" s="1553" t="str">
        <f>IFERROR(VLOOKUP($C101&amp;"|"&amp;$D101,'Carbon factors'!$D$7:$E$361,2,0),"")</f>
        <v/>
      </c>
      <c r="O101" s="851" t="str">
        <f t="shared" si="4"/>
        <v/>
      </c>
      <c r="P101" s="819" t="str" cm="1">
        <f t="array" ref="P101">IFERROR(_xlfn.IFS(L101="Y","Scope 1",L101="N","Scope 3",L101="Unknown","Manually Select Scope -&gt;"),"")</f>
        <v/>
      </c>
      <c r="Q101" s="1229"/>
      <c r="R101" s="674" t="str">
        <f t="shared" si="5"/>
        <v/>
      </c>
      <c r="U101" s="1297" t="str">
        <f>IFERROR(($E101*(VLOOKUP($C101&amp;"|"&amp;$D101,'Carbon factors'!$D$7:$H$361,3,0))),"")</f>
        <v/>
      </c>
      <c r="V101" s="183" t="str">
        <f>IFERROR(($E101*(VLOOKUP($C101&amp;"|"&amp;$D101,'Carbon factors'!$D$7:$H$361,4,0))),"")</f>
        <v/>
      </c>
      <c r="W101" s="1296" t="str">
        <f>IFERROR(($E101*(VLOOKUP($C101&amp;"|"&amp;$D101,'Carbon factors'!$D$7:$H$361,5,0))),"")</f>
        <v/>
      </c>
    </row>
    <row r="102" spans="1:23" x14ac:dyDescent="0.35">
      <c r="A102" s="1812"/>
      <c r="B102" s="824"/>
      <c r="C102" s="850"/>
      <c r="D102" s="574"/>
      <c r="E102" s="574"/>
      <c r="F102" s="186"/>
      <c r="G102" s="664" t="str" cm="1">
        <f t="array" ref="G102">IFERROR((_xlfn.IFS(F102=$AC$15,"3",F102=$AC$16,"2",F102=$AC$17,"1",F102=$AC$18,"1"))*E102,"")</f>
        <v/>
      </c>
      <c r="H102" s="166"/>
      <c r="I102" s="198"/>
      <c r="J102" s="183" t="str">
        <f>IFERROR(H102/VLOOKUP(I102,'$ Conversion'!$A$9:$B$40,2,0),"")</f>
        <v/>
      </c>
      <c r="K102" s="200"/>
      <c r="L102" s="819" t="str">
        <f>IFERROR(VLOOKUP(B102,Buildings!$B$9:$H$41,3,0),"")</f>
        <v/>
      </c>
      <c r="M102" s="449" t="str">
        <f>IFERROR(VLOOKUP(B102,Buildings!$B$9:$H$41,7,0),"")</f>
        <v/>
      </c>
      <c r="N102" s="1553" t="str">
        <f>IFERROR(VLOOKUP($C102&amp;"|"&amp;$D102,'Carbon factors'!$D$7:$E$361,2,0),"")</f>
        <v/>
      </c>
      <c r="O102" s="851" t="str">
        <f t="shared" si="4"/>
        <v/>
      </c>
      <c r="P102" s="819" t="str" cm="1">
        <f t="array" ref="P102">IFERROR(_xlfn.IFS(L102="Y","Scope 1",L102="N","Scope 3",L102="Unknown","Manually Select Scope -&gt;"),"")</f>
        <v/>
      </c>
      <c r="Q102" s="1229"/>
      <c r="R102" s="674" t="str">
        <f t="shared" si="5"/>
        <v/>
      </c>
      <c r="U102" s="1297" t="str">
        <f>IFERROR(($E102*(VLOOKUP($C102&amp;"|"&amp;$D102,'Carbon factors'!$D$7:$H$361,3,0))),"")</f>
        <v/>
      </c>
      <c r="V102" s="183" t="str">
        <f>IFERROR(($E102*(VLOOKUP($C102&amp;"|"&amp;$D102,'Carbon factors'!$D$7:$H$361,4,0))),"")</f>
        <v/>
      </c>
      <c r="W102" s="1296" t="str">
        <f>IFERROR(($E102*(VLOOKUP($C102&amp;"|"&amp;$D102,'Carbon factors'!$D$7:$H$361,5,0))),"")</f>
        <v/>
      </c>
    </row>
    <row r="103" spans="1:23" x14ac:dyDescent="0.35">
      <c r="A103" s="1812"/>
      <c r="B103" s="824"/>
      <c r="C103" s="850"/>
      <c r="D103" s="574"/>
      <c r="E103" s="574"/>
      <c r="F103" s="186"/>
      <c r="G103" s="664" t="str" cm="1">
        <f t="array" ref="G103">IFERROR((_xlfn.IFS(F103=$AC$15,"3",F103=$AC$16,"2",F103=$AC$17,"1",F103=$AC$18,"1"))*E103,"")</f>
        <v/>
      </c>
      <c r="H103" s="166"/>
      <c r="I103" s="198"/>
      <c r="J103" s="183" t="str">
        <f>IFERROR(H103/VLOOKUP(I103,'$ Conversion'!$A$9:$B$40,2,0),"")</f>
        <v/>
      </c>
      <c r="K103" s="200"/>
      <c r="L103" s="819" t="str">
        <f>IFERROR(VLOOKUP(B103,Buildings!$B$9:$H$41,3,0),"")</f>
        <v/>
      </c>
      <c r="M103" s="449" t="str">
        <f>IFERROR(VLOOKUP(B103,Buildings!$B$9:$H$41,7,0),"")</f>
        <v/>
      </c>
      <c r="N103" s="1553" t="str">
        <f>IFERROR(VLOOKUP($C103&amp;"|"&amp;$D103,'Carbon factors'!$D$7:$E$361,2,0),"")</f>
        <v/>
      </c>
      <c r="O103" s="851" t="str">
        <f t="shared" si="4"/>
        <v/>
      </c>
      <c r="P103" s="819" t="str" cm="1">
        <f t="array" ref="P103">IFERROR(_xlfn.IFS(L103="Y","Scope 1",L103="N","Scope 3",L103="Unknown","Manually Select Scope -&gt;"),"")</f>
        <v/>
      </c>
      <c r="Q103" s="1229"/>
      <c r="R103" s="674" t="str">
        <f t="shared" si="5"/>
        <v/>
      </c>
      <c r="U103" s="1297" t="str">
        <f>IFERROR(($E103*(VLOOKUP($C103&amp;"|"&amp;$D103,'Carbon factors'!$D$7:$H$361,3,0))),"")</f>
        <v/>
      </c>
      <c r="V103" s="183" t="str">
        <f>IFERROR(($E103*(VLOOKUP($C103&amp;"|"&amp;$D103,'Carbon factors'!$D$7:$H$361,4,0))),"")</f>
        <v/>
      </c>
      <c r="W103" s="1296" t="str">
        <f>IFERROR(($E103*(VLOOKUP($C103&amp;"|"&amp;$D103,'Carbon factors'!$D$7:$H$361,5,0))),"")</f>
        <v/>
      </c>
    </row>
    <row r="104" spans="1:23" x14ac:dyDescent="0.35">
      <c r="A104" s="1812"/>
      <c r="B104" s="824"/>
      <c r="C104" s="850"/>
      <c r="D104" s="574"/>
      <c r="E104" s="574"/>
      <c r="F104" s="186"/>
      <c r="G104" s="664" t="str" cm="1">
        <f t="array" ref="G104">IFERROR((_xlfn.IFS(F104=$AC$15,"3",F104=$AC$16,"2",F104=$AC$17,"1",F104=$AC$18,"1"))*E104,"")</f>
        <v/>
      </c>
      <c r="H104" s="166"/>
      <c r="I104" s="198"/>
      <c r="J104" s="183" t="str">
        <f>IFERROR(H104/VLOOKUP(I104,'$ Conversion'!$A$9:$B$40,2,0),"")</f>
        <v/>
      </c>
      <c r="K104" s="200"/>
      <c r="L104" s="819" t="str">
        <f>IFERROR(VLOOKUP(B104,Buildings!$B$9:$H$41,3,0),"")</f>
        <v/>
      </c>
      <c r="M104" s="449" t="str">
        <f>IFERROR(VLOOKUP(B104,Buildings!$B$9:$H$41,7,0),"")</f>
        <v/>
      </c>
      <c r="N104" s="1553" t="str">
        <f>IFERROR(VLOOKUP($C104&amp;"|"&amp;$D104,'Carbon factors'!$D$7:$E$361,2,0),"")</f>
        <v/>
      </c>
      <c r="O104" s="851" t="str">
        <f t="shared" si="4"/>
        <v/>
      </c>
      <c r="P104" s="819" t="str" cm="1">
        <f t="array" ref="P104">IFERROR(_xlfn.IFS(L104="Y","Scope 1",L104="N","Scope 3",L104="Unknown","Manually Select Scope -&gt;"),"")</f>
        <v/>
      </c>
      <c r="Q104" s="1229"/>
      <c r="R104" s="674" t="str">
        <f t="shared" si="5"/>
        <v/>
      </c>
      <c r="U104" s="1297" t="str">
        <f>IFERROR(($E104*(VLOOKUP($C104&amp;"|"&amp;$D104,'Carbon factors'!$D$7:$H$361,3,0))),"")</f>
        <v/>
      </c>
      <c r="V104" s="183" t="str">
        <f>IFERROR(($E104*(VLOOKUP($C104&amp;"|"&amp;$D104,'Carbon factors'!$D$7:$H$361,4,0))),"")</f>
        <v/>
      </c>
      <c r="W104" s="1296" t="str">
        <f>IFERROR(($E104*(VLOOKUP($C104&amp;"|"&amp;$D104,'Carbon factors'!$D$7:$H$361,5,0))),"")</f>
        <v/>
      </c>
    </row>
    <row r="105" spans="1:23" x14ac:dyDescent="0.35">
      <c r="A105" s="1812"/>
      <c r="B105" s="824"/>
      <c r="C105" s="850"/>
      <c r="D105" s="574"/>
      <c r="E105" s="574"/>
      <c r="F105" s="186"/>
      <c r="G105" s="664" t="str" cm="1">
        <f t="array" ref="G105">IFERROR((_xlfn.IFS(F105=$AC$15,"3",F105=$AC$16,"2",F105=$AC$17,"1",F105=$AC$18,"1"))*E105,"")</f>
        <v/>
      </c>
      <c r="H105" s="166"/>
      <c r="I105" s="198"/>
      <c r="J105" s="183" t="str">
        <f>IFERROR(H105/VLOOKUP(I105,'$ Conversion'!$A$9:$B$40,2,0),"")</f>
        <v/>
      </c>
      <c r="K105" s="200"/>
      <c r="L105" s="819" t="str">
        <f>IFERROR(VLOOKUP(B105,Buildings!$B$9:$H$41,3,0),"")</f>
        <v/>
      </c>
      <c r="M105" s="449" t="str">
        <f>IFERROR(VLOOKUP(B105,Buildings!$B$9:$H$41,7,0),"")</f>
        <v/>
      </c>
      <c r="N105" s="1553" t="str">
        <f>IFERROR(VLOOKUP($C105&amp;"|"&amp;$D105,'Carbon factors'!$D$7:$E$361,2,0),"")</f>
        <v/>
      </c>
      <c r="O105" s="851" t="str">
        <f t="shared" si="4"/>
        <v/>
      </c>
      <c r="P105" s="819" t="str" cm="1">
        <f t="array" ref="P105">IFERROR(_xlfn.IFS(L105="Y","Scope 1",L105="N","Scope 3",L105="Unknown","Manually Select Scope -&gt;"),"")</f>
        <v/>
      </c>
      <c r="Q105" s="1229"/>
      <c r="R105" s="674" t="str">
        <f t="shared" si="5"/>
        <v/>
      </c>
      <c r="U105" s="1297" t="str">
        <f>IFERROR(($E105*(VLOOKUP($C105&amp;"|"&amp;$D105,'Carbon factors'!$D$7:$H$361,3,0))),"")</f>
        <v/>
      </c>
      <c r="V105" s="183" t="str">
        <f>IFERROR(($E105*(VLOOKUP($C105&amp;"|"&amp;$D105,'Carbon factors'!$D$7:$H$361,4,0))),"")</f>
        <v/>
      </c>
      <c r="W105" s="1296" t="str">
        <f>IFERROR(($E105*(VLOOKUP($C105&amp;"|"&amp;$D105,'Carbon factors'!$D$7:$H$361,5,0))),"")</f>
        <v/>
      </c>
    </row>
    <row r="106" spans="1:23" x14ac:dyDescent="0.35">
      <c r="A106" s="1812"/>
      <c r="B106" s="824"/>
      <c r="C106" s="850"/>
      <c r="D106" s="574"/>
      <c r="E106" s="574"/>
      <c r="F106" s="186"/>
      <c r="G106" s="664" t="str" cm="1">
        <f t="array" ref="G106">IFERROR((_xlfn.IFS(F106=$AC$15,"3",F106=$AC$16,"2",F106=$AC$17,"1",F106=$AC$18,"1"))*E106,"")</f>
        <v/>
      </c>
      <c r="H106" s="166"/>
      <c r="I106" s="198"/>
      <c r="J106" s="183" t="str">
        <f>IFERROR(H106/VLOOKUP(I106,'$ Conversion'!$A$9:$B$40,2,0),"")</f>
        <v/>
      </c>
      <c r="K106" s="200"/>
      <c r="L106" s="819" t="str">
        <f>IFERROR(VLOOKUP(B106,Buildings!$B$9:$H$41,3,0),"")</f>
        <v/>
      </c>
      <c r="M106" s="449" t="str">
        <f>IFERROR(VLOOKUP(B106,Buildings!$B$9:$H$41,7,0),"")</f>
        <v/>
      </c>
      <c r="N106" s="1553" t="str">
        <f>IFERROR(VLOOKUP($C106&amp;"|"&amp;$D106,'Carbon factors'!$D$7:$E$361,2,0),"")</f>
        <v/>
      </c>
      <c r="O106" s="851" t="str">
        <f t="shared" si="4"/>
        <v/>
      </c>
      <c r="P106" s="819" t="str" cm="1">
        <f t="array" ref="P106">IFERROR(_xlfn.IFS(L106="Y","Scope 1",L106="N","Scope 3",L106="Unknown","Manually Select Scope -&gt;"),"")</f>
        <v/>
      </c>
      <c r="Q106" s="1229"/>
      <c r="R106" s="674" t="str">
        <f t="shared" si="5"/>
        <v/>
      </c>
      <c r="U106" s="1297" t="str">
        <f>IFERROR(($E106*(VLOOKUP($C106&amp;"|"&amp;$D106,'Carbon factors'!$D$7:$H$361,3,0))),"")</f>
        <v/>
      </c>
      <c r="V106" s="183" t="str">
        <f>IFERROR(($E106*(VLOOKUP($C106&amp;"|"&amp;$D106,'Carbon factors'!$D$7:$H$361,4,0))),"")</f>
        <v/>
      </c>
      <c r="W106" s="1296" t="str">
        <f>IFERROR(($E106*(VLOOKUP($C106&amp;"|"&amp;$D106,'Carbon factors'!$D$7:$H$361,5,0))),"")</f>
        <v/>
      </c>
    </row>
    <row r="107" spans="1:23" x14ac:dyDescent="0.35">
      <c r="A107" s="1812"/>
      <c r="B107" s="824"/>
      <c r="C107" s="850"/>
      <c r="D107" s="574"/>
      <c r="E107" s="574"/>
      <c r="F107" s="186"/>
      <c r="G107" s="664" t="str" cm="1">
        <f t="array" ref="G107">IFERROR((_xlfn.IFS(F107=$AC$15,"3",F107=$AC$16,"2",F107=$AC$17,"1",F107=$AC$18,"1"))*E107,"")</f>
        <v/>
      </c>
      <c r="H107" s="166"/>
      <c r="I107" s="198"/>
      <c r="J107" s="183" t="str">
        <f>IFERROR(H107/VLOOKUP(I107,'$ Conversion'!$A$9:$B$40,2,0),"")</f>
        <v/>
      </c>
      <c r="K107" s="200"/>
      <c r="L107" s="819" t="str">
        <f>IFERROR(VLOOKUP(B107,Buildings!$B$9:$H$41,3,0),"")</f>
        <v/>
      </c>
      <c r="M107" s="449" t="str">
        <f>IFERROR(VLOOKUP(B107,Buildings!$B$9:$H$41,7,0),"")</f>
        <v/>
      </c>
      <c r="N107" s="1553" t="str">
        <f>IFERROR(VLOOKUP($C107&amp;"|"&amp;$D107,'Carbon factors'!$D$7:$E$361,2,0),"")</f>
        <v/>
      </c>
      <c r="O107" s="851" t="str">
        <f t="shared" si="4"/>
        <v/>
      </c>
      <c r="P107" s="819" t="str" cm="1">
        <f t="array" ref="P107">IFERROR(_xlfn.IFS(L107="Y","Scope 1",L107="N","Scope 3",L107="Unknown","Manually Select Scope -&gt;"),"")</f>
        <v/>
      </c>
      <c r="Q107" s="1229"/>
      <c r="R107" s="674" t="str">
        <f t="shared" si="5"/>
        <v/>
      </c>
      <c r="U107" s="1297" t="str">
        <f>IFERROR(($E107*(VLOOKUP($C107&amp;"|"&amp;$D107,'Carbon factors'!$D$7:$H$361,3,0))),"")</f>
        <v/>
      </c>
      <c r="V107" s="183" t="str">
        <f>IFERROR(($E107*(VLOOKUP($C107&amp;"|"&amp;$D107,'Carbon factors'!$D$7:$H$361,4,0))),"")</f>
        <v/>
      </c>
      <c r="W107" s="1296" t="str">
        <f>IFERROR(($E107*(VLOOKUP($C107&amp;"|"&amp;$D107,'Carbon factors'!$D$7:$H$361,5,0))),"")</f>
        <v/>
      </c>
    </row>
    <row r="108" spans="1:23" x14ac:dyDescent="0.35">
      <c r="A108" s="1812"/>
      <c r="B108" s="824"/>
      <c r="C108" s="850"/>
      <c r="D108" s="574"/>
      <c r="E108" s="574"/>
      <c r="F108" s="186"/>
      <c r="G108" s="664" t="str" cm="1">
        <f t="array" ref="G108">IFERROR((_xlfn.IFS(F108=$AC$15,"3",F108=$AC$16,"2",F108=$AC$17,"1",F108=$AC$18,"1"))*E108,"")</f>
        <v/>
      </c>
      <c r="H108" s="166"/>
      <c r="I108" s="198"/>
      <c r="J108" s="183" t="str">
        <f>IFERROR(H108/VLOOKUP(I108,'$ Conversion'!$A$9:$B$40,2,0),"")</f>
        <v/>
      </c>
      <c r="K108" s="200"/>
      <c r="L108" s="819" t="str">
        <f>IFERROR(VLOOKUP(B108,Buildings!$B$9:$H$41,3,0),"")</f>
        <v/>
      </c>
      <c r="M108" s="449" t="str">
        <f>IFERROR(VLOOKUP(B108,Buildings!$B$9:$H$41,7,0),"")</f>
        <v/>
      </c>
      <c r="N108" s="1553" t="str">
        <f>IFERROR(VLOOKUP($C108&amp;"|"&amp;$D108,'Carbon factors'!$D$7:$E$361,2,0),"")</f>
        <v/>
      </c>
      <c r="O108" s="851" t="str">
        <f t="shared" si="4"/>
        <v/>
      </c>
      <c r="P108" s="819" t="str" cm="1">
        <f t="array" ref="P108">IFERROR(_xlfn.IFS(L108="Y","Scope 1",L108="N","Scope 3",L108="Unknown","Manually Select Scope -&gt;"),"")</f>
        <v/>
      </c>
      <c r="Q108" s="1229"/>
      <c r="R108" s="674" t="str">
        <f t="shared" si="5"/>
        <v/>
      </c>
      <c r="U108" s="1297" t="str">
        <f>IFERROR(($E108*(VLOOKUP($C108&amp;"|"&amp;$D108,'Carbon factors'!$D$7:$H$361,3,0))),"")</f>
        <v/>
      </c>
      <c r="V108" s="183" t="str">
        <f>IFERROR(($E108*(VLOOKUP($C108&amp;"|"&amp;$D108,'Carbon factors'!$D$7:$H$361,4,0))),"")</f>
        <v/>
      </c>
      <c r="W108" s="1296" t="str">
        <f>IFERROR(($E108*(VLOOKUP($C108&amp;"|"&amp;$D108,'Carbon factors'!$D$7:$H$361,5,0))),"")</f>
        <v/>
      </c>
    </row>
    <row r="109" spans="1:23" x14ac:dyDescent="0.35">
      <c r="A109" s="1812"/>
      <c r="B109" s="824"/>
      <c r="C109" s="850"/>
      <c r="D109" s="574"/>
      <c r="E109" s="574"/>
      <c r="F109" s="186"/>
      <c r="G109" s="664" t="str" cm="1">
        <f t="array" ref="G109">IFERROR((_xlfn.IFS(F109=$AC$15,"3",F109=$AC$16,"2",F109=$AC$17,"1",F109=$AC$18,"1"))*E109,"")</f>
        <v/>
      </c>
      <c r="H109" s="166"/>
      <c r="I109" s="198"/>
      <c r="J109" s="183" t="str">
        <f>IFERROR(H109/VLOOKUP(I109,'$ Conversion'!$A$9:$B$40,2,0),"")</f>
        <v/>
      </c>
      <c r="K109" s="200"/>
      <c r="L109" s="819" t="str">
        <f>IFERROR(VLOOKUP(B109,Buildings!$B$9:$H$41,3,0),"")</f>
        <v/>
      </c>
      <c r="M109" s="449" t="str">
        <f>IFERROR(VLOOKUP(B109,Buildings!$B$9:$H$41,7,0),"")</f>
        <v/>
      </c>
      <c r="N109" s="1553" t="str">
        <f>IFERROR(VLOOKUP($C109&amp;"|"&amp;$D109,'Carbon factors'!$D$7:$E$361,2,0),"")</f>
        <v/>
      </c>
      <c r="O109" s="851" t="str">
        <f t="shared" si="4"/>
        <v/>
      </c>
      <c r="P109" s="819" t="str" cm="1">
        <f t="array" ref="P109">IFERROR(_xlfn.IFS(L109="Y","Scope 1",L109="N","Scope 3",L109="Unknown","Manually Select Scope -&gt;"),"")</f>
        <v/>
      </c>
      <c r="Q109" s="1229"/>
      <c r="R109" s="674" t="str">
        <f t="shared" si="5"/>
        <v/>
      </c>
      <c r="U109" s="1297" t="str">
        <f>IFERROR(($E109*(VLOOKUP($C109&amp;"|"&amp;$D109,'Carbon factors'!$D$7:$H$361,3,0))),"")</f>
        <v/>
      </c>
      <c r="V109" s="183" t="str">
        <f>IFERROR(($E109*(VLOOKUP($C109&amp;"|"&amp;$D109,'Carbon factors'!$D$7:$H$361,4,0))),"")</f>
        <v/>
      </c>
      <c r="W109" s="1296" t="str">
        <f>IFERROR(($E109*(VLOOKUP($C109&amp;"|"&amp;$D109,'Carbon factors'!$D$7:$H$361,5,0))),"")</f>
        <v/>
      </c>
    </row>
    <row r="110" spans="1:23" ht="15" thickBot="1" x14ac:dyDescent="0.4">
      <c r="A110" s="1812"/>
      <c r="B110" s="824"/>
      <c r="C110" s="850"/>
      <c r="D110" s="574"/>
      <c r="E110" s="574"/>
      <c r="F110" s="186"/>
      <c r="G110" s="664" t="str" cm="1">
        <f t="array" ref="G110">IFERROR((_xlfn.IFS(F110=$AC$15,"3",F110=$AC$16,"2",F110=$AC$17,"1",F110=$AC$18,"1"))*E110,"")</f>
        <v/>
      </c>
      <c r="H110" s="166"/>
      <c r="I110" s="198"/>
      <c r="J110" s="202" t="str">
        <f>IFERROR(H110/VLOOKUP(I110,'$ Conversion'!$A$9:$B$40,2,0),"")</f>
        <v/>
      </c>
      <c r="K110" s="201"/>
      <c r="L110" s="819" t="str">
        <f>IFERROR(VLOOKUP(B110,Buildings!$B$9:$H$41,3,0),"")</f>
        <v/>
      </c>
      <c r="M110" s="449" t="str">
        <f>IFERROR(VLOOKUP(B110,Buildings!$B$9:$H$41,7,0),"")</f>
        <v/>
      </c>
      <c r="N110" s="1554" t="str">
        <f>IFERROR(VLOOKUP($C110&amp;"|"&amp;$D110,'Carbon factors'!$D$7:$E$361,2,0),"")</f>
        <v/>
      </c>
      <c r="O110" s="851" t="str">
        <f t="shared" si="4"/>
        <v/>
      </c>
      <c r="P110" s="1239" t="str" cm="1">
        <f t="array" ref="P110">IFERROR(_xlfn.IFS(L110="Y","Scope 1",L110="N","Scope 3",L110="Unknown","Manually Select Scope -&gt;"),"")</f>
        <v/>
      </c>
      <c r="Q110" s="1234"/>
      <c r="R110" s="675" t="str">
        <f t="shared" si="5"/>
        <v/>
      </c>
      <c r="U110" s="1297" t="str">
        <f>IFERROR(($E110*(VLOOKUP($C110&amp;"|"&amp;$D110,'Carbon factors'!$D$7:$H$361,3,0))),"")</f>
        <v/>
      </c>
      <c r="V110" s="183" t="str">
        <f>IFERROR(($E110*(VLOOKUP($C110&amp;"|"&amp;$D110,'Carbon factors'!$D$7:$H$361,4,0))),"")</f>
        <v/>
      </c>
      <c r="W110" s="1296" t="str">
        <f>IFERROR(($E110*(VLOOKUP($C110&amp;"|"&amp;$D110,'Carbon factors'!$D$7:$H$361,5,0))),"")</f>
        <v/>
      </c>
    </row>
    <row r="111" spans="1:23" ht="175" x14ac:dyDescent="0.45">
      <c r="A111" s="823" t="s">
        <v>526</v>
      </c>
      <c r="B111" s="820" t="s">
        <v>622</v>
      </c>
      <c r="C111" s="475" t="s">
        <v>532</v>
      </c>
      <c r="D111" s="172" t="s">
        <v>533</v>
      </c>
      <c r="E111" s="172" t="s">
        <v>534</v>
      </c>
      <c r="F111" s="171" t="s">
        <v>535</v>
      </c>
      <c r="G111" s="661" t="s">
        <v>536</v>
      </c>
      <c r="H111" s="171" t="s">
        <v>537</v>
      </c>
      <c r="I111" s="171" t="s">
        <v>142</v>
      </c>
      <c r="J111" s="171" t="s">
        <v>538</v>
      </c>
      <c r="K111" s="247" t="s">
        <v>619</v>
      </c>
      <c r="L111" s="171" t="s">
        <v>540</v>
      </c>
      <c r="M111" s="247" t="s">
        <v>541</v>
      </c>
      <c r="N111" s="233" t="s">
        <v>542</v>
      </c>
      <c r="O111" s="669" t="s">
        <v>543</v>
      </c>
      <c r="P111" s="171" t="s">
        <v>544</v>
      </c>
      <c r="Q111" s="1227" t="s">
        <v>545</v>
      </c>
      <c r="R111" s="671" t="s">
        <v>546</v>
      </c>
      <c r="U111" s="1447" t="s">
        <v>178</v>
      </c>
      <c r="V111" s="1448" t="s">
        <v>179</v>
      </c>
      <c r="W111" s="1449" t="s">
        <v>180</v>
      </c>
    </row>
    <row r="112" spans="1:23" ht="66" customHeight="1" thickBot="1" x14ac:dyDescent="0.4">
      <c r="A112" s="1812" t="s">
        <v>623</v>
      </c>
      <c r="B112" s="914" t="s">
        <v>554</v>
      </c>
      <c r="C112" s="476" t="s">
        <v>329</v>
      </c>
      <c r="D112" s="190" t="s">
        <v>329</v>
      </c>
      <c r="E112" s="193" t="s">
        <v>624</v>
      </c>
      <c r="F112" s="190" t="s">
        <v>329</v>
      </c>
      <c r="G112" s="665"/>
      <c r="H112" s="190" t="s">
        <v>467</v>
      </c>
      <c r="I112" s="190" t="s">
        <v>329</v>
      </c>
      <c r="J112" s="190" t="s">
        <v>556</v>
      </c>
      <c r="K112" s="248" t="s">
        <v>625</v>
      </c>
      <c r="L112" s="190" t="s">
        <v>558</v>
      </c>
      <c r="M112" s="248" t="s">
        <v>558</v>
      </c>
      <c r="N112" s="267" t="s">
        <v>614</v>
      </c>
      <c r="O112" s="665" t="s">
        <v>560</v>
      </c>
      <c r="P112" s="191" t="s">
        <v>561</v>
      </c>
      <c r="Q112" s="1228" t="s">
        <v>562</v>
      </c>
      <c r="R112" s="672" t="s">
        <v>556</v>
      </c>
      <c r="U112" s="1450" t="s">
        <v>202</v>
      </c>
      <c r="V112" s="1451" t="s">
        <v>202</v>
      </c>
      <c r="W112" s="1452" t="s">
        <v>202</v>
      </c>
    </row>
    <row r="113" spans="1:29" x14ac:dyDescent="0.35">
      <c r="A113" s="1814"/>
      <c r="B113" s="897"/>
      <c r="C113" s="578"/>
      <c r="D113" s="576"/>
      <c r="E113" s="576"/>
      <c r="F113" s="197"/>
      <c r="G113" s="666" t="str" cm="1">
        <f t="array" ref="G113">IFERROR((_xlfn.IFS(F113=$AC$15,"3",F113=$AC$16,"2",F113=$AC$17,"1",F113=$AC$18,"1"))*E113,"")</f>
        <v/>
      </c>
      <c r="H113" s="199"/>
      <c r="I113" s="197"/>
      <c r="J113" s="440" t="str">
        <f>IFERROR(H113/VLOOKUP(I113,'$ Conversion'!$A$9:$B$40,2,0),"")</f>
        <v/>
      </c>
      <c r="K113" s="197"/>
      <c r="L113" s="435" t="str">
        <f>IFERROR(VLOOKUP(B113,Buildings!$B$9:$H$41,3,0),"")</f>
        <v/>
      </c>
      <c r="M113" s="920" t="str">
        <f>IFERROR(VLOOKUP(B113,Buildings!$B$9:$H$41,7,0),"")</f>
        <v/>
      </c>
      <c r="N113" s="1555" t="str">
        <f>IFERROR(VLOOKUP($C113&amp;"|"&amp;$D113,'Carbon factors'!$D$7:$E$361,2,0),"")</f>
        <v/>
      </c>
      <c r="O113" s="500" t="str">
        <f t="shared" ref="O113:O142" si="6">IFERROR(E113*N113,"")</f>
        <v/>
      </c>
      <c r="P113" s="435" t="str" cm="1">
        <f t="array" ref="P113">IFERROR(_xlfn.IFS(L113="Y","Scope 1",L113="N","Scope 3",L113="Unknown","Manually Select Scope -&gt;"),"")</f>
        <v/>
      </c>
      <c r="Q113" s="1235"/>
      <c r="R113" s="673" t="str">
        <f t="shared" ref="R113:R142" si="7">IFERROR((J113*E113),"")</f>
        <v/>
      </c>
      <c r="S113" s="1327"/>
      <c r="T113" s="1326"/>
      <c r="U113" s="1297" t="str">
        <f>IFERROR(($E113*(VLOOKUP($C113&amp;"|"&amp;$D113,'Carbon factors'!$D$7:$H$361,3,0))),"")</f>
        <v/>
      </c>
      <c r="V113" s="183" t="str">
        <f>IFERROR(($E113*(VLOOKUP($C113&amp;"|"&amp;$D113,'Carbon factors'!$D$7:$H$361,4,0))),"")</f>
        <v/>
      </c>
      <c r="W113" s="1296" t="str">
        <f>IFERROR(($E113*(VLOOKUP($C113&amp;"|"&amp;$D113,'Carbon factors'!$D$7:$H$361,5,0))),"")</f>
        <v/>
      </c>
      <c r="X113" s="706"/>
    </row>
    <row r="114" spans="1:29" x14ac:dyDescent="0.35">
      <c r="A114" s="1814"/>
      <c r="B114" s="898"/>
      <c r="C114" s="579"/>
      <c r="D114" s="577"/>
      <c r="E114" s="577"/>
      <c r="F114" s="186"/>
      <c r="G114" s="664" t="str" cm="1">
        <f t="array" ref="G114">IFERROR((_xlfn.IFS(F114=$AC$15,"3",F114=$AC$16,"2",F114=$AC$17,"1",F114=$AC$18,"1"))*E114,"")</f>
        <v/>
      </c>
      <c r="H114" s="168"/>
      <c r="I114" s="186"/>
      <c r="J114" s="183" t="str">
        <f>IFERROR(H114/VLOOKUP(I114,'$ Conversion'!$A$9:$B$40,2,0),"")</f>
        <v/>
      </c>
      <c r="K114" s="186"/>
      <c r="L114" s="179" t="str">
        <f>IFERROR(VLOOKUP(B114,Buildings!$B$9:$H$41,3,0),"")</f>
        <v/>
      </c>
      <c r="M114" s="210" t="str">
        <f>IFERROR(VLOOKUP(B114,Buildings!$B$9:$H$41,7,0),"")</f>
        <v/>
      </c>
      <c r="N114" s="1556" t="str">
        <f>IFERROR(VLOOKUP($C114&amp;"|"&amp;$D114,'Carbon factors'!$D$7:$E$361,2,0),"")</f>
        <v/>
      </c>
      <c r="O114" s="501" t="str">
        <f t="shared" si="6"/>
        <v/>
      </c>
      <c r="P114" s="179" t="str" cm="1">
        <f t="array" ref="P114">IFERROR(_xlfn.IFS(L114="Y","Scope 1",L114="N","Scope 3",L114="Unknown","Manually Select Scope -&gt;"),"")</f>
        <v/>
      </c>
      <c r="Q114" s="1236"/>
      <c r="R114" s="674" t="str">
        <f t="shared" si="7"/>
        <v/>
      </c>
      <c r="T114" s="1327"/>
      <c r="U114" s="1297" t="str">
        <f>IFERROR(($E114*(VLOOKUP($C114&amp;"|"&amp;$D114,'Carbon factors'!$D$7:$H$361,3,0))),"")</f>
        <v/>
      </c>
      <c r="V114" s="183" t="str">
        <f>IFERROR(($E114*(VLOOKUP($C114&amp;"|"&amp;$D114,'Carbon factors'!$D$7:$H$361,4,0))),"")</f>
        <v/>
      </c>
      <c r="W114" s="1296" t="str">
        <f>IFERROR(($E114*(VLOOKUP($C114&amp;"|"&amp;$D114,'Carbon factors'!$D$7:$H$361,5,0))),"")</f>
        <v/>
      </c>
    </row>
    <row r="115" spans="1:29" x14ac:dyDescent="0.35">
      <c r="A115" s="1814"/>
      <c r="B115" s="898"/>
      <c r="C115" s="579"/>
      <c r="D115" s="577"/>
      <c r="E115" s="577"/>
      <c r="F115" s="186"/>
      <c r="G115" s="664" t="str" cm="1">
        <f t="array" ref="G115">IFERROR((_xlfn.IFS(F115=$AC$15,"3",F115=$AC$16,"2",F115=$AC$17,"1",F115=$AC$18,"1"))*E115,"")</f>
        <v/>
      </c>
      <c r="H115" s="168"/>
      <c r="I115" s="186"/>
      <c r="J115" s="183" t="str">
        <f>IFERROR(H115/VLOOKUP(I115,'$ Conversion'!$A$9:$B$40,2,0),"")</f>
        <v/>
      </c>
      <c r="K115" s="186"/>
      <c r="L115" s="179" t="str">
        <f>IFERROR(VLOOKUP(B115,Buildings!$B$9:$H$41,3,0),"")</f>
        <v/>
      </c>
      <c r="M115" s="210" t="str">
        <f>IFERROR(VLOOKUP(B115,Buildings!$B$9:$H$41,7,0),"")</f>
        <v/>
      </c>
      <c r="N115" s="1556" t="str">
        <f>IFERROR(VLOOKUP($C115&amp;"|"&amp;$D115,'Carbon factors'!$D$7:$E$361,2,0),"")</f>
        <v/>
      </c>
      <c r="O115" s="501" t="str">
        <f t="shared" si="6"/>
        <v/>
      </c>
      <c r="P115" s="179" t="str" cm="1">
        <f t="array" ref="P115">IFERROR(_xlfn.IFS(L115="Y","Scope 1",L115="N","Scope 3",L115="Unknown","Manually Select Scope -&gt;"),"")</f>
        <v/>
      </c>
      <c r="Q115" s="1236"/>
      <c r="R115" s="674" t="str">
        <f t="shared" si="7"/>
        <v/>
      </c>
      <c r="U115" s="1297" t="str">
        <f>IFERROR(($E115*(VLOOKUP($C115&amp;"|"&amp;$D115,'Carbon factors'!$D$7:$H$361,3,0))),"")</f>
        <v/>
      </c>
      <c r="V115" s="183" t="str">
        <f>IFERROR(($E115*(VLOOKUP($C115&amp;"|"&amp;$D115,'Carbon factors'!$D$7:$H$361,4,0))),"")</f>
        <v/>
      </c>
      <c r="W115" s="1296" t="str">
        <f>IFERROR(($E115*(VLOOKUP($C115&amp;"|"&amp;$D115,'Carbon factors'!$D$7:$H$361,5,0))),"")</f>
        <v/>
      </c>
    </row>
    <row r="116" spans="1:29" x14ac:dyDescent="0.35">
      <c r="A116" s="1814"/>
      <c r="B116" s="898"/>
      <c r="C116" s="579"/>
      <c r="D116" s="577"/>
      <c r="E116" s="577"/>
      <c r="F116" s="186"/>
      <c r="G116" s="664" t="str" cm="1">
        <f t="array" ref="G116">IFERROR((_xlfn.IFS(F116=$AC$15,"3",F116=$AC$16,"2",F116=$AC$17,"1",F116=$AC$18,"1"))*E116,"")</f>
        <v/>
      </c>
      <c r="H116" s="168"/>
      <c r="I116" s="186"/>
      <c r="J116" s="183" t="str">
        <f>IFERROR(H116/VLOOKUP(I116,'$ Conversion'!$A$9:$B$40,2,0),"")</f>
        <v/>
      </c>
      <c r="K116" s="186"/>
      <c r="L116" s="179" t="str">
        <f>IFERROR(VLOOKUP(B116,Buildings!$B$9:$H$41,3,0),"")</f>
        <v/>
      </c>
      <c r="M116" s="210" t="str">
        <f>IFERROR(VLOOKUP(B116,Buildings!$B$9:$H$41,7,0),"")</f>
        <v/>
      </c>
      <c r="N116" s="1556" t="str">
        <f>IFERROR(VLOOKUP($C116&amp;"|"&amp;$D116,'Carbon factors'!$D$7:$E$361,2,0),"")</f>
        <v/>
      </c>
      <c r="O116" s="501" t="str">
        <f t="shared" si="6"/>
        <v/>
      </c>
      <c r="P116" s="179" t="str" cm="1">
        <f t="array" ref="P116">IFERROR(_xlfn.IFS(L116="Y","Scope 1",L116="N","Scope 3",L116="Unknown","Manually Select Scope -&gt;"),"")</f>
        <v/>
      </c>
      <c r="Q116" s="1236"/>
      <c r="R116" s="674" t="str">
        <f t="shared" si="7"/>
        <v/>
      </c>
      <c r="U116" s="1297" t="str">
        <f>IFERROR(($E116*(VLOOKUP($C116&amp;"|"&amp;$D116,'Carbon factors'!$D$7:$H$361,3,0))),"")</f>
        <v/>
      </c>
      <c r="V116" s="183" t="str">
        <f>IFERROR(($E116*(VLOOKUP($C116&amp;"|"&amp;$D116,'Carbon factors'!$D$7:$H$361,4,0))),"")</f>
        <v/>
      </c>
      <c r="W116" s="1296" t="str">
        <f>IFERROR(($E116*(VLOOKUP($C116&amp;"|"&amp;$D116,'Carbon factors'!$D$7:$H$361,5,0))),"")</f>
        <v/>
      </c>
    </row>
    <row r="117" spans="1:29" x14ac:dyDescent="0.35">
      <c r="A117" s="1814"/>
      <c r="B117" s="898"/>
      <c r="C117" s="579"/>
      <c r="D117" s="577"/>
      <c r="E117" s="577"/>
      <c r="F117" s="186"/>
      <c r="G117" s="664" t="str" cm="1">
        <f t="array" ref="G117">IFERROR((_xlfn.IFS(F117=$AC$15,"3",F117=$AC$16,"2",F117=$AC$17,"1",F117=$AC$18,"1"))*E117,"")</f>
        <v/>
      </c>
      <c r="H117" s="168"/>
      <c r="I117" s="186"/>
      <c r="J117" s="183" t="str">
        <f>IFERROR(H117/VLOOKUP(I117,'$ Conversion'!$A$9:$B$40,2,0),"")</f>
        <v/>
      </c>
      <c r="K117" s="186"/>
      <c r="L117" s="179" t="str">
        <f>IFERROR(VLOOKUP(B117,Buildings!$B$9:$H$41,3,0),"")</f>
        <v/>
      </c>
      <c r="M117" s="210" t="str">
        <f>IFERROR(VLOOKUP(B117,Buildings!$B$9:$H$41,7,0),"")</f>
        <v/>
      </c>
      <c r="N117" s="1556" t="str">
        <f>IFERROR(VLOOKUP($C117&amp;"|"&amp;$D117,'Carbon factors'!$D$7:$E$361,2,0),"")</f>
        <v/>
      </c>
      <c r="O117" s="501" t="str">
        <f t="shared" si="6"/>
        <v/>
      </c>
      <c r="P117" s="179" t="str" cm="1">
        <f t="array" ref="P117">IFERROR(_xlfn.IFS(L117="Y","Scope 1",L117="N","Scope 3",L117="Unknown","Manually Select Scope -&gt;"),"")</f>
        <v/>
      </c>
      <c r="Q117" s="1236"/>
      <c r="R117" s="674" t="str">
        <f t="shared" si="7"/>
        <v/>
      </c>
      <c r="U117" s="1297" t="str">
        <f>IFERROR(($E117*(VLOOKUP($C117&amp;"|"&amp;$D117,'Carbon factors'!$D$7:$H$361,3,0))),"")</f>
        <v/>
      </c>
      <c r="V117" s="183" t="str">
        <f>IFERROR(($E117*(VLOOKUP($C117&amp;"|"&amp;$D117,'Carbon factors'!$D$7:$H$361,4,0))),"")</f>
        <v/>
      </c>
      <c r="W117" s="1296" t="str">
        <f>IFERROR(($E117*(VLOOKUP($C117&amp;"|"&amp;$D117,'Carbon factors'!$D$7:$H$361,5,0))),"")</f>
        <v/>
      </c>
    </row>
    <row r="118" spans="1:29" x14ac:dyDescent="0.35">
      <c r="A118" s="1814"/>
      <c r="B118" s="898"/>
      <c r="C118" s="579"/>
      <c r="D118" s="577"/>
      <c r="E118" s="577"/>
      <c r="F118" s="186"/>
      <c r="G118" s="664" t="str" cm="1">
        <f t="array" ref="G118">IFERROR((_xlfn.IFS(F118=$AC$15,"3",F118=$AC$16,"2",F118=$AC$17,"1",F118=$AC$18,"1"))*E118,"")</f>
        <v/>
      </c>
      <c r="H118" s="168"/>
      <c r="I118" s="186"/>
      <c r="J118" s="183" t="str">
        <f>IFERROR(H118/VLOOKUP(I118,'$ Conversion'!$A$9:$B$40,2,0),"")</f>
        <v/>
      </c>
      <c r="K118" s="186"/>
      <c r="L118" s="179" t="str">
        <f>IFERROR(VLOOKUP(B118,Buildings!$B$9:$H$41,3,0),"")</f>
        <v/>
      </c>
      <c r="M118" s="210" t="str">
        <f>IFERROR(VLOOKUP(B118,Buildings!$B$9:$H$41,7,0),"")</f>
        <v/>
      </c>
      <c r="N118" s="1556" t="str">
        <f>IFERROR(VLOOKUP($C118&amp;"|"&amp;$D118,'Carbon factors'!$D$7:$E$361,2,0),"")</f>
        <v/>
      </c>
      <c r="O118" s="501" t="str">
        <f t="shared" si="6"/>
        <v/>
      </c>
      <c r="P118" s="179" t="str" cm="1">
        <f t="array" ref="P118">IFERROR(_xlfn.IFS(L118="Y","Scope 1",L118="N","Scope 3",L118="Unknown","Manually Select Scope -&gt;"),"")</f>
        <v/>
      </c>
      <c r="Q118" s="1236"/>
      <c r="R118" s="674" t="str">
        <f t="shared" si="7"/>
        <v/>
      </c>
      <c r="U118" s="1297" t="str">
        <f>IFERROR(($E118*(VLOOKUP($C118&amp;"|"&amp;$D118,'Carbon factors'!$D$7:$H$361,3,0))),"")</f>
        <v/>
      </c>
      <c r="V118" s="183" t="str">
        <f>IFERROR(($E118*(VLOOKUP($C118&amp;"|"&amp;$D118,'Carbon factors'!$D$7:$H$361,4,0))),"")</f>
        <v/>
      </c>
      <c r="W118" s="1296" t="str">
        <f>IFERROR(($E118*(VLOOKUP($C118&amp;"|"&amp;$D118,'Carbon factors'!$D$7:$H$361,5,0))),"")</f>
        <v/>
      </c>
    </row>
    <row r="119" spans="1:29" x14ac:dyDescent="0.35">
      <c r="A119" s="1814"/>
      <c r="B119" s="898"/>
      <c r="C119" s="579"/>
      <c r="D119" s="577"/>
      <c r="E119" s="577"/>
      <c r="F119" s="186"/>
      <c r="G119" s="664" t="str" cm="1">
        <f t="array" ref="G119">IFERROR((_xlfn.IFS(F119=$AC$15,"3",F119=$AC$16,"2",F119=$AC$17,"1",F119=$AC$18,"1"))*E119,"")</f>
        <v/>
      </c>
      <c r="H119" s="168"/>
      <c r="I119" s="186"/>
      <c r="J119" s="183" t="str">
        <f>IFERROR(H119/VLOOKUP(I119,'$ Conversion'!$A$9:$B$40,2,0),"")</f>
        <v/>
      </c>
      <c r="K119" s="186"/>
      <c r="L119" s="179" t="str">
        <f>IFERROR(VLOOKUP(B119,Buildings!$B$9:$H$41,3,0),"")</f>
        <v/>
      </c>
      <c r="M119" s="210" t="str">
        <f>IFERROR(VLOOKUP(B119,Buildings!$B$9:$H$41,7,0),"")</f>
        <v/>
      </c>
      <c r="N119" s="1556" t="str">
        <f>IFERROR(VLOOKUP($C119&amp;"|"&amp;$D119,'Carbon factors'!$D$7:$E$361,2,0),"")</f>
        <v/>
      </c>
      <c r="O119" s="501" t="str">
        <f t="shared" si="6"/>
        <v/>
      </c>
      <c r="P119" s="179" t="str" cm="1">
        <f t="array" ref="P119">IFERROR(_xlfn.IFS(L119="Y","Scope 1",L119="N","Scope 3",L119="Unknown","Manually Select Scope -&gt;"),"")</f>
        <v/>
      </c>
      <c r="Q119" s="1236"/>
      <c r="R119" s="674" t="str">
        <f t="shared" si="7"/>
        <v/>
      </c>
      <c r="U119" s="1297" t="str">
        <f>IFERROR(($E119*(VLOOKUP($C119&amp;"|"&amp;$D119,'Carbon factors'!$D$7:$H$361,3,0))),"")</f>
        <v/>
      </c>
      <c r="V119" s="183" t="str">
        <f>IFERROR(($E119*(VLOOKUP($C119&amp;"|"&amp;$D119,'Carbon factors'!$D$7:$H$361,4,0))),"")</f>
        <v/>
      </c>
      <c r="W119" s="1296" t="str">
        <f>IFERROR(($E119*(VLOOKUP($C119&amp;"|"&amp;$D119,'Carbon factors'!$D$7:$H$361,5,0))),"")</f>
        <v/>
      </c>
    </row>
    <row r="120" spans="1:29" x14ac:dyDescent="0.35">
      <c r="A120" s="1814"/>
      <c r="B120" s="898"/>
      <c r="C120" s="579"/>
      <c r="D120" s="577"/>
      <c r="E120" s="577"/>
      <c r="F120" s="186"/>
      <c r="G120" s="664" t="str" cm="1">
        <f t="array" ref="G120">IFERROR((_xlfn.IFS(F120=$AC$15,"3",F120=$AC$16,"2",F120=$AC$17,"1",F120=$AC$18,"1"))*E120,"")</f>
        <v/>
      </c>
      <c r="H120" s="168"/>
      <c r="I120" s="186"/>
      <c r="J120" s="183" t="str">
        <f>IFERROR(H120/VLOOKUP(I120,'$ Conversion'!$A$9:$B$40,2,0),"")</f>
        <v/>
      </c>
      <c r="K120" s="186"/>
      <c r="L120" s="179" t="str">
        <f>IFERROR(VLOOKUP(B120,Buildings!$B$9:$H$41,3,0),"")</f>
        <v/>
      </c>
      <c r="M120" s="210" t="str">
        <f>IFERROR(VLOOKUP(B120,Buildings!$B$9:$H$41,7,0),"")</f>
        <v/>
      </c>
      <c r="N120" s="1556" t="str">
        <f>IFERROR(VLOOKUP($C120&amp;"|"&amp;$D120,'Carbon factors'!$D$7:$E$361,2,0),"")</f>
        <v/>
      </c>
      <c r="O120" s="501" t="str">
        <f t="shared" si="6"/>
        <v/>
      </c>
      <c r="P120" s="179" t="str" cm="1">
        <f t="array" ref="P120">IFERROR(_xlfn.IFS(L120="Y","Scope 1",L120="N","Scope 3",L120="Unknown","Manually Select Scope -&gt;"),"")</f>
        <v/>
      </c>
      <c r="Q120" s="1236"/>
      <c r="R120" s="674" t="str">
        <f t="shared" si="7"/>
        <v/>
      </c>
      <c r="U120" s="1297" t="str">
        <f>IFERROR(($E120*(VLOOKUP($C120&amp;"|"&amp;$D120,'Carbon factors'!$D$7:$H$361,3,0))),"")</f>
        <v/>
      </c>
      <c r="V120" s="183" t="str">
        <f>IFERROR(($E120*(VLOOKUP($C120&amp;"|"&amp;$D120,'Carbon factors'!$D$7:$H$361,4,0))),"")</f>
        <v/>
      </c>
      <c r="W120" s="1296" t="str">
        <f>IFERROR(($E120*(VLOOKUP($C120&amp;"|"&amp;$D120,'Carbon factors'!$D$7:$H$361,5,0))),"")</f>
        <v/>
      </c>
    </row>
    <row r="121" spans="1:29" x14ac:dyDescent="0.35">
      <c r="A121" s="1814"/>
      <c r="B121" s="898"/>
      <c r="C121" s="579"/>
      <c r="D121" s="577"/>
      <c r="E121" s="577"/>
      <c r="F121" s="186"/>
      <c r="G121" s="664" t="str" cm="1">
        <f t="array" ref="G121">IFERROR((_xlfn.IFS(F121=$AC$15,"3",F121=$AC$16,"2",F121=$AC$17,"1",F121=$AC$18,"1"))*E121,"")</f>
        <v/>
      </c>
      <c r="H121" s="168"/>
      <c r="I121" s="186"/>
      <c r="J121" s="183" t="str">
        <f>IFERROR(H121/VLOOKUP(I121,'$ Conversion'!$A$9:$B$40,2,0),"")</f>
        <v/>
      </c>
      <c r="K121" s="186"/>
      <c r="L121" s="179" t="str">
        <f>IFERROR(VLOOKUP(B121,Buildings!$B$9:$H$41,3,0),"")</f>
        <v/>
      </c>
      <c r="M121" s="210" t="str">
        <f>IFERROR(VLOOKUP(B121,Buildings!$B$9:$H$41,7,0),"")</f>
        <v/>
      </c>
      <c r="N121" s="1556" t="str">
        <f>IFERROR(VLOOKUP($C121&amp;"|"&amp;$D121,'Carbon factors'!$D$7:$E$361,2,0),"")</f>
        <v/>
      </c>
      <c r="O121" s="501" t="str">
        <f t="shared" si="6"/>
        <v/>
      </c>
      <c r="P121" s="179" t="str" cm="1">
        <f t="array" ref="P121">IFERROR(_xlfn.IFS(L121="Y","Scope 1",L121="N","Scope 3",L121="Unknown","Manually Select Scope -&gt;"),"")</f>
        <v/>
      </c>
      <c r="Q121" s="1236"/>
      <c r="R121" s="674" t="str">
        <f t="shared" si="7"/>
        <v/>
      </c>
      <c r="U121" s="1297" t="str">
        <f>IFERROR(($E121*(VLOOKUP($C121&amp;"|"&amp;$D121,'Carbon factors'!$D$7:$H$361,3,0))),"")</f>
        <v/>
      </c>
      <c r="V121" s="183" t="str">
        <f>IFERROR(($E121*(VLOOKUP($C121&amp;"|"&amp;$D121,'Carbon factors'!$D$7:$H$361,4,0))),"")</f>
        <v/>
      </c>
      <c r="W121" s="1296" t="str">
        <f>IFERROR(($E121*(VLOOKUP($C121&amp;"|"&amp;$D121,'Carbon factors'!$D$7:$H$361,5,0))),"")</f>
        <v/>
      </c>
      <c r="Y121" s="6"/>
      <c r="Z121" s="6"/>
      <c r="AA121" s="6"/>
      <c r="AC121" s="6"/>
    </row>
    <row r="122" spans="1:29" x14ac:dyDescent="0.35">
      <c r="A122" s="1814"/>
      <c r="B122" s="898"/>
      <c r="C122" s="579"/>
      <c r="D122" s="577"/>
      <c r="E122" s="577"/>
      <c r="F122" s="186"/>
      <c r="G122" s="664" t="str" cm="1">
        <f t="array" ref="G122">IFERROR((_xlfn.IFS(F122=$AC$15,"3",F122=$AC$16,"2",F122=$AC$17,"1",F122=$AC$18,"1"))*E122,"")</f>
        <v/>
      </c>
      <c r="H122" s="168"/>
      <c r="I122" s="186"/>
      <c r="J122" s="183" t="str">
        <f>IFERROR(H122/VLOOKUP(I122,'$ Conversion'!$A$9:$B$40,2,0),"")</f>
        <v/>
      </c>
      <c r="K122" s="186"/>
      <c r="L122" s="179" t="str">
        <f>IFERROR(VLOOKUP(B122,Buildings!$B$9:$H$41,3,0),"")</f>
        <v/>
      </c>
      <c r="M122" s="210" t="str">
        <f>IFERROR(VLOOKUP(B122,Buildings!$B$9:$H$41,7,0),"")</f>
        <v/>
      </c>
      <c r="N122" s="1556" t="str">
        <f>IFERROR(VLOOKUP($C122&amp;"|"&amp;$D122,'Carbon factors'!$D$7:$E$361,2,0),"")</f>
        <v/>
      </c>
      <c r="O122" s="501" t="str">
        <f t="shared" si="6"/>
        <v/>
      </c>
      <c r="P122" s="179" t="str" cm="1">
        <f t="array" ref="P122">IFERROR(_xlfn.IFS(L122="Y","Scope 1",L122="N","Scope 3",L122="Unknown","Manually Select Scope -&gt;"),"")</f>
        <v/>
      </c>
      <c r="Q122" s="1236"/>
      <c r="R122" s="674" t="str">
        <f t="shared" si="7"/>
        <v/>
      </c>
      <c r="U122" s="1297" t="str">
        <f>IFERROR(($E122*(VLOOKUP($C122&amp;"|"&amp;$D122,'Carbon factors'!$D$7:$H$361,3,0))),"")</f>
        <v/>
      </c>
      <c r="V122" s="183" t="str">
        <f>IFERROR(($E122*(VLOOKUP($C122&amp;"|"&amp;$D122,'Carbon factors'!$D$7:$H$361,4,0))),"")</f>
        <v/>
      </c>
      <c r="W122" s="1296" t="str">
        <f>IFERROR(($E122*(VLOOKUP($C122&amp;"|"&amp;$D122,'Carbon factors'!$D$7:$H$361,5,0))),"")</f>
        <v/>
      </c>
      <c r="Y122" s="7"/>
    </row>
    <row r="123" spans="1:29" x14ac:dyDescent="0.35">
      <c r="A123" s="1814"/>
      <c r="B123" s="898"/>
      <c r="C123" s="579"/>
      <c r="D123" s="577"/>
      <c r="E123" s="577"/>
      <c r="F123" s="186"/>
      <c r="G123" s="664" t="str" cm="1">
        <f t="array" ref="G123">IFERROR((_xlfn.IFS(F123=$AC$15,"3",F123=$AC$16,"2",F123=$AC$17,"1",F123=$AC$18,"1"))*E123,"")</f>
        <v/>
      </c>
      <c r="H123" s="168"/>
      <c r="I123" s="186"/>
      <c r="J123" s="183" t="str">
        <f>IFERROR(H123/VLOOKUP(I123,'$ Conversion'!$A$9:$B$40,2,0),"")</f>
        <v/>
      </c>
      <c r="K123" s="186"/>
      <c r="L123" s="179" t="str">
        <f>IFERROR(VLOOKUP(B123,Buildings!$B$9:$H$41,3,0),"")</f>
        <v/>
      </c>
      <c r="M123" s="210" t="str">
        <f>IFERROR(VLOOKUP(B123,Buildings!$B$9:$H$41,7,0),"")</f>
        <v/>
      </c>
      <c r="N123" s="1556" t="str">
        <f>IFERROR(VLOOKUP($C123&amp;"|"&amp;$D123,'Carbon factors'!$D$7:$E$361,2,0),"")</f>
        <v/>
      </c>
      <c r="O123" s="501" t="str">
        <f t="shared" si="6"/>
        <v/>
      </c>
      <c r="P123" s="179" t="str" cm="1">
        <f t="array" ref="P123">IFERROR(_xlfn.IFS(L123="Y","Scope 1",L123="N","Scope 3",L123="Unknown","Manually Select Scope -&gt;"),"")</f>
        <v/>
      </c>
      <c r="Q123" s="1236"/>
      <c r="R123" s="674" t="str">
        <f t="shared" si="7"/>
        <v/>
      </c>
      <c r="U123" s="1297" t="str">
        <f>IFERROR(($E123*(VLOOKUP($C123&amp;"|"&amp;$D123,'Carbon factors'!$D$7:$H$361,3,0))),"")</f>
        <v/>
      </c>
      <c r="V123" s="183" t="str">
        <f>IFERROR(($E123*(VLOOKUP($C123&amp;"|"&amp;$D123,'Carbon factors'!$D$7:$H$361,4,0))),"")</f>
        <v/>
      </c>
      <c r="W123" s="1296" t="str">
        <f>IFERROR(($E123*(VLOOKUP($C123&amp;"|"&amp;$D123,'Carbon factors'!$D$7:$H$361,5,0))),"")</f>
        <v/>
      </c>
    </row>
    <row r="124" spans="1:29" x14ac:dyDescent="0.35">
      <c r="A124" s="1814"/>
      <c r="B124" s="898"/>
      <c r="C124" s="579"/>
      <c r="D124" s="577"/>
      <c r="E124" s="577"/>
      <c r="F124" s="186"/>
      <c r="G124" s="664" t="str" cm="1">
        <f t="array" ref="G124">IFERROR((_xlfn.IFS(F124=$AC$15,"3",F124=$AC$16,"2",F124=$AC$17,"1",F124=$AC$18,"1"))*E124,"")</f>
        <v/>
      </c>
      <c r="H124" s="168"/>
      <c r="I124" s="186"/>
      <c r="J124" s="183" t="str">
        <f>IFERROR(H124/VLOOKUP(I124,'$ Conversion'!$A$9:$B$40,2,0),"")</f>
        <v/>
      </c>
      <c r="K124" s="186"/>
      <c r="L124" s="179" t="str">
        <f>IFERROR(VLOOKUP(B124,Buildings!$B$9:$H$41,3,0),"")</f>
        <v/>
      </c>
      <c r="M124" s="210" t="str">
        <f>IFERROR(VLOOKUP(B124,Buildings!$B$9:$H$41,7,0),"")</f>
        <v/>
      </c>
      <c r="N124" s="1556" t="str">
        <f>IFERROR(VLOOKUP($C124&amp;"|"&amp;$D124,'Carbon factors'!$D$7:$E$361,2,0),"")</f>
        <v/>
      </c>
      <c r="O124" s="501" t="str">
        <f t="shared" si="6"/>
        <v/>
      </c>
      <c r="P124" s="179" t="str" cm="1">
        <f t="array" ref="P124">IFERROR(_xlfn.IFS(L124="Y","Scope 1",L124="N","Scope 3",L124="Unknown","Manually Select Scope -&gt;"),"")</f>
        <v/>
      </c>
      <c r="Q124" s="1236"/>
      <c r="R124" s="674" t="str">
        <f t="shared" si="7"/>
        <v/>
      </c>
      <c r="U124" s="1297" t="str">
        <f>IFERROR(($E124*(VLOOKUP($C124&amp;"|"&amp;$D124,'Carbon factors'!$D$7:$H$361,3,0))),"")</f>
        <v/>
      </c>
      <c r="V124" s="183" t="str">
        <f>IFERROR(($E124*(VLOOKUP($C124&amp;"|"&amp;$D124,'Carbon factors'!$D$7:$H$361,4,0))),"")</f>
        <v/>
      </c>
      <c r="W124" s="1296" t="str">
        <f>IFERROR(($E124*(VLOOKUP($C124&amp;"|"&amp;$D124,'Carbon factors'!$D$7:$H$361,5,0))),"")</f>
        <v/>
      </c>
      <c r="AB124" s="6"/>
    </row>
    <row r="125" spans="1:29" x14ac:dyDescent="0.35">
      <c r="A125" s="1814"/>
      <c r="B125" s="898"/>
      <c r="C125" s="579"/>
      <c r="D125" s="577"/>
      <c r="E125" s="577"/>
      <c r="F125" s="186"/>
      <c r="G125" s="664" t="str" cm="1">
        <f t="array" ref="G125">IFERROR((_xlfn.IFS(F125=$AC$15,"3",F125=$AC$16,"2",F125=$AC$17,"1",F125=$AC$18,"1"))*E125,"")</f>
        <v/>
      </c>
      <c r="H125" s="168"/>
      <c r="I125" s="186"/>
      <c r="J125" s="183" t="str">
        <f>IFERROR(H125/VLOOKUP(I125,'$ Conversion'!$A$9:$B$40,2,0),"")</f>
        <v/>
      </c>
      <c r="K125" s="186"/>
      <c r="L125" s="179" t="str">
        <f>IFERROR(VLOOKUP(B125,Buildings!$B$9:$H$41,3,0),"")</f>
        <v/>
      </c>
      <c r="M125" s="210" t="str">
        <f>IFERROR(VLOOKUP(B125,Buildings!$B$9:$H$41,7,0),"")</f>
        <v/>
      </c>
      <c r="N125" s="1556" t="str">
        <f>IFERROR(VLOOKUP($C125&amp;"|"&amp;$D125,'Carbon factors'!$D$7:$E$361,2,0),"")</f>
        <v/>
      </c>
      <c r="O125" s="501" t="str">
        <f t="shared" si="6"/>
        <v/>
      </c>
      <c r="P125" s="179" t="str" cm="1">
        <f t="array" ref="P125">IFERROR(_xlfn.IFS(L125="Y","Scope 1",L125="N","Scope 3",L125="Unknown","Manually Select Scope -&gt;"),"")</f>
        <v/>
      </c>
      <c r="Q125" s="1236"/>
      <c r="R125" s="674" t="str">
        <f t="shared" si="7"/>
        <v/>
      </c>
      <c r="U125" s="1297" t="str">
        <f>IFERROR(($E125*(VLOOKUP($C125&amp;"|"&amp;$D125,'Carbon factors'!$D$7:$H$361,3,0))),"")</f>
        <v/>
      </c>
      <c r="V125" s="183" t="str">
        <f>IFERROR(($E125*(VLOOKUP($C125&amp;"|"&amp;$D125,'Carbon factors'!$D$7:$H$361,4,0))),"")</f>
        <v/>
      </c>
      <c r="W125" s="1296" t="str">
        <f>IFERROR(($E125*(VLOOKUP($C125&amp;"|"&amp;$D125,'Carbon factors'!$D$7:$H$361,5,0))),"")</f>
        <v/>
      </c>
    </row>
    <row r="126" spans="1:29" x14ac:dyDescent="0.35">
      <c r="A126" s="1814"/>
      <c r="B126" s="898"/>
      <c r="C126" s="579"/>
      <c r="D126" s="577"/>
      <c r="E126" s="577"/>
      <c r="F126" s="186"/>
      <c r="G126" s="664" t="str" cm="1">
        <f t="array" ref="G126">IFERROR((_xlfn.IFS(F126=$AC$15,"3",F126=$AC$16,"2",F126=$AC$17,"1",F126=$AC$18,"1"))*E126,"")</f>
        <v/>
      </c>
      <c r="H126" s="168"/>
      <c r="I126" s="186"/>
      <c r="J126" s="183" t="str">
        <f>IFERROR(H126/VLOOKUP(I126,'$ Conversion'!$A$9:$B$40,2,0),"")</f>
        <v/>
      </c>
      <c r="K126" s="186"/>
      <c r="L126" s="179" t="str">
        <f>IFERROR(VLOOKUP(B126,Buildings!$B$9:$H$41,3,0),"")</f>
        <v/>
      </c>
      <c r="M126" s="210" t="str">
        <f>IFERROR(VLOOKUP(B126,Buildings!$B$9:$H$41,7,0),"")</f>
        <v/>
      </c>
      <c r="N126" s="1556" t="str">
        <f>IFERROR(VLOOKUP($C126&amp;"|"&amp;$D126,'Carbon factors'!$D$7:$E$361,2,0),"")</f>
        <v/>
      </c>
      <c r="O126" s="501" t="str">
        <f t="shared" si="6"/>
        <v/>
      </c>
      <c r="P126" s="179" t="str" cm="1">
        <f t="array" ref="P126">IFERROR(_xlfn.IFS(L126="Y","Scope 1",L126="N","Scope 3",L126="Unknown","Manually Select Scope -&gt;"),"")</f>
        <v/>
      </c>
      <c r="Q126" s="1236"/>
      <c r="R126" s="674" t="str">
        <f t="shared" si="7"/>
        <v/>
      </c>
      <c r="U126" s="1297" t="str">
        <f>IFERROR(($E126*(VLOOKUP($C126&amp;"|"&amp;$D126,'Carbon factors'!$D$7:$H$361,3,0))),"")</f>
        <v/>
      </c>
      <c r="V126" s="183" t="str">
        <f>IFERROR(($E126*(VLOOKUP($C126&amp;"|"&amp;$D126,'Carbon factors'!$D$7:$H$361,4,0))),"")</f>
        <v/>
      </c>
      <c r="W126" s="1296" t="str">
        <f>IFERROR(($E126*(VLOOKUP($C126&amp;"|"&amp;$D126,'Carbon factors'!$D$7:$H$361,5,0))),"")</f>
        <v/>
      </c>
    </row>
    <row r="127" spans="1:29" x14ac:dyDescent="0.35">
      <c r="A127" s="1814"/>
      <c r="B127" s="898"/>
      <c r="C127" s="579"/>
      <c r="D127" s="577"/>
      <c r="E127" s="577"/>
      <c r="F127" s="186"/>
      <c r="G127" s="664" t="str" cm="1">
        <f t="array" ref="G127">IFERROR((_xlfn.IFS(F127=$AC$15,"3",F127=$AC$16,"2",F127=$AC$17,"1",F127=$AC$18,"1"))*E127,"")</f>
        <v/>
      </c>
      <c r="H127" s="168"/>
      <c r="I127" s="186"/>
      <c r="J127" s="183" t="str">
        <f>IFERROR(H127/VLOOKUP(I127,'$ Conversion'!$A$9:$B$40,2,0),"")</f>
        <v/>
      </c>
      <c r="K127" s="186"/>
      <c r="L127" s="179" t="str">
        <f>IFERROR(VLOOKUP(B127,Buildings!$B$9:$H$41,3,0),"")</f>
        <v/>
      </c>
      <c r="M127" s="210" t="str">
        <f>IFERROR(VLOOKUP(B127,Buildings!$B$9:$H$41,7,0),"")</f>
        <v/>
      </c>
      <c r="N127" s="1556" t="str">
        <f>IFERROR(VLOOKUP($C127&amp;"|"&amp;$D127,'Carbon factors'!$D$7:$E$361,2,0),"")</f>
        <v/>
      </c>
      <c r="O127" s="501" t="str">
        <f t="shared" si="6"/>
        <v/>
      </c>
      <c r="P127" s="179" t="str" cm="1">
        <f t="array" ref="P127">IFERROR(_xlfn.IFS(L127="Y","Scope 1",L127="N","Scope 3",L127="Unknown","Manually Select Scope -&gt;"),"")</f>
        <v/>
      </c>
      <c r="Q127" s="1236"/>
      <c r="R127" s="674" t="str">
        <f t="shared" si="7"/>
        <v/>
      </c>
      <c r="U127" s="1297" t="str">
        <f>IFERROR(($E127*(VLOOKUP($C127&amp;"|"&amp;$D127,'Carbon factors'!$D$7:$H$361,3,0))),"")</f>
        <v/>
      </c>
      <c r="V127" s="183" t="str">
        <f>IFERROR(($E127*(VLOOKUP($C127&amp;"|"&amp;$D127,'Carbon factors'!$D$7:$H$361,4,0))),"")</f>
        <v/>
      </c>
      <c r="W127" s="1296" t="str">
        <f>IFERROR(($E127*(VLOOKUP($C127&amp;"|"&amp;$D127,'Carbon factors'!$D$7:$H$361,5,0))),"")</f>
        <v/>
      </c>
    </row>
    <row r="128" spans="1:29" x14ac:dyDescent="0.35">
      <c r="A128" s="1814"/>
      <c r="B128" s="898"/>
      <c r="C128" s="579"/>
      <c r="D128" s="577"/>
      <c r="E128" s="577"/>
      <c r="F128" s="186"/>
      <c r="G128" s="664" t="str" cm="1">
        <f t="array" ref="G128">IFERROR((_xlfn.IFS(F128=$AC$15,"3",F128=$AC$16,"2",F128=$AC$17,"1",F128=$AC$18,"1"))*E128,"")</f>
        <v/>
      </c>
      <c r="H128" s="168"/>
      <c r="I128" s="186"/>
      <c r="J128" s="183" t="str">
        <f>IFERROR(H128/VLOOKUP(I128,'$ Conversion'!$A$9:$B$40,2,0),"")</f>
        <v/>
      </c>
      <c r="K128" s="186"/>
      <c r="L128" s="179" t="str">
        <f>IFERROR(VLOOKUP(B128,Buildings!$B$9:$H$41,3,0),"")</f>
        <v/>
      </c>
      <c r="M128" s="210" t="str">
        <f>IFERROR(VLOOKUP(B128,Buildings!$B$9:$H$41,7,0),"")</f>
        <v/>
      </c>
      <c r="N128" s="1556" t="str">
        <f>IFERROR(VLOOKUP($C128&amp;"|"&amp;$D128,'Carbon factors'!$D$7:$E$361,2,0),"")</f>
        <v/>
      </c>
      <c r="O128" s="501" t="str">
        <f t="shared" si="6"/>
        <v/>
      </c>
      <c r="P128" s="179" t="str" cm="1">
        <f t="array" ref="P128">IFERROR(_xlfn.IFS(L128="Y","Scope 1",L128="N","Scope 3",L128="Unknown","Manually Select Scope -&gt;"),"")</f>
        <v/>
      </c>
      <c r="Q128" s="1236"/>
      <c r="R128" s="674" t="str">
        <f t="shared" si="7"/>
        <v/>
      </c>
      <c r="U128" s="1297" t="str">
        <f>IFERROR(($E128*(VLOOKUP($C128&amp;"|"&amp;$D128,'Carbon factors'!$D$7:$H$361,3,0))),"")</f>
        <v/>
      </c>
      <c r="V128" s="183" t="str">
        <f>IFERROR(($E128*(VLOOKUP($C128&amp;"|"&amp;$D128,'Carbon factors'!$D$7:$H$361,4,0))),"")</f>
        <v/>
      </c>
      <c r="W128" s="1296" t="str">
        <f>IFERROR(($E128*(VLOOKUP($C128&amp;"|"&amp;$D128,'Carbon factors'!$D$7:$H$361,5,0))),"")</f>
        <v/>
      </c>
    </row>
    <row r="129" spans="1:29" x14ac:dyDescent="0.35">
      <c r="A129" s="1814"/>
      <c r="B129" s="898"/>
      <c r="C129" s="579"/>
      <c r="D129" s="577"/>
      <c r="E129" s="577"/>
      <c r="F129" s="186"/>
      <c r="G129" s="664" t="str" cm="1">
        <f t="array" ref="G129">IFERROR((_xlfn.IFS(F129=$AC$15,"3",F129=$AC$16,"2",F129=$AC$17,"1",F129=$AC$18,"1"))*E129,"")</f>
        <v/>
      </c>
      <c r="H129" s="168"/>
      <c r="I129" s="186"/>
      <c r="J129" s="183" t="str">
        <f>IFERROR(H129/VLOOKUP(I129,'$ Conversion'!$A$9:$B$40,2,0),"")</f>
        <v/>
      </c>
      <c r="K129" s="186"/>
      <c r="L129" s="179" t="str">
        <f>IFERROR(VLOOKUP(B129,Buildings!$B$9:$H$41,3,0),"")</f>
        <v/>
      </c>
      <c r="M129" s="210" t="str">
        <f>IFERROR(VLOOKUP(B129,Buildings!$B$9:$H$41,7,0),"")</f>
        <v/>
      </c>
      <c r="N129" s="1556" t="str">
        <f>IFERROR(VLOOKUP($C129&amp;"|"&amp;$D129,'Carbon factors'!$D$7:$E$361,2,0),"")</f>
        <v/>
      </c>
      <c r="O129" s="501" t="str">
        <f t="shared" si="6"/>
        <v/>
      </c>
      <c r="P129" s="179" t="str" cm="1">
        <f t="array" ref="P129">IFERROR(_xlfn.IFS(L129="Y","Scope 1",L129="N","Scope 3",L129="Unknown","Manually Select Scope -&gt;"),"")</f>
        <v/>
      </c>
      <c r="Q129" s="1236"/>
      <c r="R129" s="674" t="str">
        <f t="shared" si="7"/>
        <v/>
      </c>
      <c r="U129" s="1297" t="str">
        <f>IFERROR(($E129*(VLOOKUP($C129&amp;"|"&amp;$D129,'Carbon factors'!$D$7:$H$361,3,0))),"")</f>
        <v/>
      </c>
      <c r="V129" s="183" t="str">
        <f>IFERROR(($E129*(VLOOKUP($C129&amp;"|"&amp;$D129,'Carbon factors'!$D$7:$H$361,4,0))),"")</f>
        <v/>
      </c>
      <c r="W129" s="1296" t="str">
        <f>IFERROR(($E129*(VLOOKUP($C129&amp;"|"&amp;$D129,'Carbon factors'!$D$7:$H$361,5,0))),"")</f>
        <v/>
      </c>
    </row>
    <row r="130" spans="1:29" x14ac:dyDescent="0.35">
      <c r="A130" s="1814"/>
      <c r="B130" s="898"/>
      <c r="C130" s="579"/>
      <c r="D130" s="577"/>
      <c r="E130" s="577"/>
      <c r="F130" s="186"/>
      <c r="G130" s="664" t="str" cm="1">
        <f t="array" ref="G130">IFERROR((_xlfn.IFS(F130=$AC$15,"3",F130=$AC$16,"2",F130=$AC$17,"1",F130=$AC$18,"1"))*E130,"")</f>
        <v/>
      </c>
      <c r="H130" s="168"/>
      <c r="I130" s="186"/>
      <c r="J130" s="183" t="str">
        <f>IFERROR(H130/VLOOKUP(I130,'$ Conversion'!$A$9:$B$40,2,0),"")</f>
        <v/>
      </c>
      <c r="K130" s="186"/>
      <c r="L130" s="179" t="str">
        <f>IFERROR(VLOOKUP(B130,Buildings!$B$9:$H$41,3,0),"")</f>
        <v/>
      </c>
      <c r="M130" s="210" t="str">
        <f>IFERROR(VLOOKUP(B130,Buildings!$B$9:$H$41,7,0),"")</f>
        <v/>
      </c>
      <c r="N130" s="1556" t="str">
        <f>IFERROR(VLOOKUP($C130&amp;"|"&amp;$D130,'Carbon factors'!$D$7:$E$361,2,0),"")</f>
        <v/>
      </c>
      <c r="O130" s="501" t="str">
        <f t="shared" si="6"/>
        <v/>
      </c>
      <c r="P130" s="179" t="str" cm="1">
        <f t="array" ref="P130">IFERROR(_xlfn.IFS(L130="Y","Scope 1",L130="N","Scope 3",L130="Unknown","Manually Select Scope -&gt;"),"")</f>
        <v/>
      </c>
      <c r="Q130" s="1236"/>
      <c r="R130" s="674" t="str">
        <f t="shared" si="7"/>
        <v/>
      </c>
      <c r="U130" s="1297" t="str">
        <f>IFERROR(($E130*(VLOOKUP($C130&amp;"|"&amp;$D130,'Carbon factors'!$D$7:$H$361,3,0))),"")</f>
        <v/>
      </c>
      <c r="V130" s="183" t="str">
        <f>IFERROR(($E130*(VLOOKUP($C130&amp;"|"&amp;$D130,'Carbon factors'!$D$7:$H$361,4,0))),"")</f>
        <v/>
      </c>
      <c r="W130" s="1296" t="str">
        <f>IFERROR(($E130*(VLOOKUP($C130&amp;"|"&amp;$D130,'Carbon factors'!$D$7:$H$361,5,0))),"")</f>
        <v/>
      </c>
    </row>
    <row r="131" spans="1:29" x14ac:dyDescent="0.35">
      <c r="A131" s="1814"/>
      <c r="B131" s="898"/>
      <c r="C131" s="579"/>
      <c r="D131" s="577"/>
      <c r="E131" s="577"/>
      <c r="F131" s="186"/>
      <c r="G131" s="664" t="str" cm="1">
        <f t="array" ref="G131">IFERROR((_xlfn.IFS(F131=$AC$15,"3",F131=$AC$16,"2",F131=$AC$17,"1",F131=$AC$18,"1"))*E131,"")</f>
        <v/>
      </c>
      <c r="H131" s="168"/>
      <c r="I131" s="186"/>
      <c r="J131" s="183" t="str">
        <f>IFERROR(H131/VLOOKUP(I131,'$ Conversion'!$A$9:$B$40,2,0),"")</f>
        <v/>
      </c>
      <c r="K131" s="186"/>
      <c r="L131" s="179" t="str">
        <f>IFERROR(VLOOKUP(B131,Buildings!$B$9:$H$41,3,0),"")</f>
        <v/>
      </c>
      <c r="M131" s="210" t="str">
        <f>IFERROR(VLOOKUP(B131,Buildings!$B$9:$H$41,7,0),"")</f>
        <v/>
      </c>
      <c r="N131" s="1556" t="str">
        <f>IFERROR(VLOOKUP($C131&amp;"|"&amp;$D131,'Carbon factors'!$D$7:$E$361,2,0),"")</f>
        <v/>
      </c>
      <c r="O131" s="501" t="str">
        <f t="shared" si="6"/>
        <v/>
      </c>
      <c r="P131" s="179" t="str" cm="1">
        <f t="array" ref="P131">IFERROR(_xlfn.IFS(L131="Y","Scope 1",L131="N","Scope 3",L131="Unknown","Manually Select Scope -&gt;"),"")</f>
        <v/>
      </c>
      <c r="Q131" s="1236"/>
      <c r="R131" s="674" t="str">
        <f t="shared" si="7"/>
        <v/>
      </c>
      <c r="U131" s="1297" t="str">
        <f>IFERROR(($E131*(VLOOKUP($C131&amp;"|"&amp;$D131,'Carbon factors'!$D$7:$H$361,3,0))),"")</f>
        <v/>
      </c>
      <c r="V131" s="183" t="str">
        <f>IFERROR(($E131*(VLOOKUP($C131&amp;"|"&amp;$D131,'Carbon factors'!$D$7:$H$361,4,0))),"")</f>
        <v/>
      </c>
      <c r="W131" s="1296" t="str">
        <f>IFERROR(($E131*(VLOOKUP($C131&amp;"|"&amp;$D131,'Carbon factors'!$D$7:$H$361,5,0))),"")</f>
        <v/>
      </c>
    </row>
    <row r="132" spans="1:29" x14ac:dyDescent="0.35">
      <c r="A132" s="1814"/>
      <c r="B132" s="898"/>
      <c r="C132" s="579"/>
      <c r="D132" s="577"/>
      <c r="E132" s="577"/>
      <c r="F132" s="186"/>
      <c r="G132" s="664" t="str" cm="1">
        <f t="array" ref="G132">IFERROR((_xlfn.IFS(F132=$AC$15,"3",F132=$AC$16,"2",F132=$AC$17,"1",F132=$AC$18,"1"))*E132,"")</f>
        <v/>
      </c>
      <c r="H132" s="168"/>
      <c r="I132" s="186"/>
      <c r="J132" s="183" t="str">
        <f>IFERROR(H132/VLOOKUP(I132,'$ Conversion'!$A$9:$B$40,2,0),"")</f>
        <v/>
      </c>
      <c r="K132" s="186"/>
      <c r="L132" s="179" t="str">
        <f>IFERROR(VLOOKUP(B132,Buildings!$B$9:$H$41,3,0),"")</f>
        <v/>
      </c>
      <c r="M132" s="210" t="str">
        <f>IFERROR(VLOOKUP(B132,Buildings!$B$9:$H$41,7,0),"")</f>
        <v/>
      </c>
      <c r="N132" s="1556" t="str">
        <f>IFERROR(VLOOKUP($C132&amp;"|"&amp;$D132,'Carbon factors'!$D$7:$E$361,2,0),"")</f>
        <v/>
      </c>
      <c r="O132" s="501" t="str">
        <f t="shared" si="6"/>
        <v/>
      </c>
      <c r="P132" s="179" t="str" cm="1">
        <f t="array" ref="P132">IFERROR(_xlfn.IFS(L132="Y","Scope 1",L132="N","Scope 3",L132="Unknown","Manually Select Scope -&gt;"),"")</f>
        <v/>
      </c>
      <c r="Q132" s="1236"/>
      <c r="R132" s="674" t="str">
        <f t="shared" si="7"/>
        <v/>
      </c>
      <c r="U132" s="1297" t="str">
        <f>IFERROR(($E132*(VLOOKUP($C132&amp;"|"&amp;$D132,'Carbon factors'!$D$7:$H$361,3,0))),"")</f>
        <v/>
      </c>
      <c r="V132" s="183" t="str">
        <f>IFERROR(($E132*(VLOOKUP($C132&amp;"|"&amp;$D132,'Carbon factors'!$D$7:$H$361,4,0))),"")</f>
        <v/>
      </c>
      <c r="W132" s="1296" t="str">
        <f>IFERROR(($E132*(VLOOKUP($C132&amp;"|"&amp;$D132,'Carbon factors'!$D$7:$H$361,5,0))),"")</f>
        <v/>
      </c>
    </row>
    <row r="133" spans="1:29" x14ac:dyDescent="0.35">
      <c r="A133" s="1814"/>
      <c r="B133" s="898"/>
      <c r="C133" s="579"/>
      <c r="D133" s="577"/>
      <c r="E133" s="577"/>
      <c r="F133" s="186"/>
      <c r="G133" s="664" t="str" cm="1">
        <f t="array" ref="G133">IFERROR((_xlfn.IFS(F133=$AC$15,"3",F133=$AC$16,"2",F133=$AC$17,"1",F133=$AC$18,"1"))*E133,"")</f>
        <v/>
      </c>
      <c r="H133" s="168"/>
      <c r="I133" s="186"/>
      <c r="J133" s="183" t="str">
        <f>IFERROR(H133/VLOOKUP(I133,'$ Conversion'!$A$9:$B$40,2,0),"")</f>
        <v/>
      </c>
      <c r="K133" s="186"/>
      <c r="L133" s="179" t="str">
        <f>IFERROR(VLOOKUP(B133,Buildings!$B$9:$H$41,3,0),"")</f>
        <v/>
      </c>
      <c r="M133" s="210" t="str">
        <f>IFERROR(VLOOKUP(B133,Buildings!$B$9:$H$41,7,0),"")</f>
        <v/>
      </c>
      <c r="N133" s="1556" t="str">
        <f>IFERROR(VLOOKUP($C133&amp;"|"&amp;$D133,'Carbon factors'!$D$7:$E$361,2,0),"")</f>
        <v/>
      </c>
      <c r="O133" s="501" t="str">
        <f t="shared" si="6"/>
        <v/>
      </c>
      <c r="P133" s="179" t="str" cm="1">
        <f t="array" ref="P133">IFERROR(_xlfn.IFS(L133="Y","Scope 1",L133="N","Scope 3",L133="Unknown","Manually Select Scope -&gt;"),"")</f>
        <v/>
      </c>
      <c r="Q133" s="1236"/>
      <c r="R133" s="674" t="str">
        <f t="shared" si="7"/>
        <v/>
      </c>
      <c r="U133" s="1297" t="str">
        <f>IFERROR(($E133*(VLOOKUP($C133&amp;"|"&amp;$D133,'Carbon factors'!$D$7:$H$361,3,0))),"")</f>
        <v/>
      </c>
      <c r="V133" s="183" t="str">
        <f>IFERROR(($E133*(VLOOKUP($C133&amp;"|"&amp;$D133,'Carbon factors'!$D$7:$H$361,4,0))),"")</f>
        <v/>
      </c>
      <c r="W133" s="1296" t="str">
        <f>IFERROR(($E133*(VLOOKUP($C133&amp;"|"&amp;$D133,'Carbon factors'!$D$7:$H$361,5,0))),"")</f>
        <v/>
      </c>
    </row>
    <row r="134" spans="1:29" x14ac:dyDescent="0.35">
      <c r="A134" s="1814"/>
      <c r="B134" s="898"/>
      <c r="C134" s="579"/>
      <c r="D134" s="577"/>
      <c r="E134" s="577"/>
      <c r="F134" s="186"/>
      <c r="G134" s="664" t="str" cm="1">
        <f t="array" ref="G134">IFERROR((_xlfn.IFS(F134=$AC$15,"3",F134=$AC$16,"2",F134=$AC$17,"1",F134=$AC$18,"1"))*E134,"")</f>
        <v/>
      </c>
      <c r="H134" s="168"/>
      <c r="I134" s="186"/>
      <c r="J134" s="183" t="str">
        <f>IFERROR(H134/VLOOKUP(I134,'$ Conversion'!$A$9:$B$40,2,0),"")</f>
        <v/>
      </c>
      <c r="K134" s="186"/>
      <c r="L134" s="179" t="str">
        <f>IFERROR(VLOOKUP(B134,Buildings!$B$9:$H$41,3,0),"")</f>
        <v/>
      </c>
      <c r="M134" s="210" t="str">
        <f>IFERROR(VLOOKUP(B134,Buildings!$B$9:$H$41,7,0),"")</f>
        <v/>
      </c>
      <c r="N134" s="1556" t="str">
        <f>IFERROR(VLOOKUP($C134&amp;"|"&amp;$D134,'Carbon factors'!$D$7:$E$361,2,0),"")</f>
        <v/>
      </c>
      <c r="O134" s="501" t="str">
        <f t="shared" si="6"/>
        <v/>
      </c>
      <c r="P134" s="179" t="str" cm="1">
        <f t="array" ref="P134">IFERROR(_xlfn.IFS(L134="Y","Scope 1",L134="N","Scope 3",L134="Unknown","Manually Select Scope -&gt;"),"")</f>
        <v/>
      </c>
      <c r="Q134" s="1236"/>
      <c r="R134" s="674" t="str">
        <f t="shared" si="7"/>
        <v/>
      </c>
      <c r="U134" s="1297" t="str">
        <f>IFERROR(($E134*(VLOOKUP($C134&amp;"|"&amp;$D134,'Carbon factors'!$D$7:$H$361,3,0))),"")</f>
        <v/>
      </c>
      <c r="V134" s="183" t="str">
        <f>IFERROR(($E134*(VLOOKUP($C134&amp;"|"&amp;$D134,'Carbon factors'!$D$7:$H$361,4,0))),"")</f>
        <v/>
      </c>
      <c r="W134" s="1296" t="str">
        <f>IFERROR(($E134*(VLOOKUP($C134&amp;"|"&amp;$D134,'Carbon factors'!$D$7:$H$361,5,0))),"")</f>
        <v/>
      </c>
      <c r="Y134" s="6"/>
      <c r="Z134" s="6"/>
      <c r="AA134" s="6"/>
      <c r="AC134" s="6"/>
    </row>
    <row r="135" spans="1:29" x14ac:dyDescent="0.35">
      <c r="A135" s="1814"/>
      <c r="B135" s="898"/>
      <c r="C135" s="579"/>
      <c r="D135" s="577"/>
      <c r="E135" s="577"/>
      <c r="F135" s="186"/>
      <c r="G135" s="664" t="str" cm="1">
        <f t="array" ref="G135">IFERROR((_xlfn.IFS(F135=$AC$15,"3",F135=$AC$16,"2",F135=$AC$17,"1",F135=$AC$18,"1"))*E135,"")</f>
        <v/>
      </c>
      <c r="H135" s="168"/>
      <c r="I135" s="186"/>
      <c r="J135" s="183" t="str">
        <f>IFERROR(H135/VLOOKUP(I135,'$ Conversion'!$A$9:$B$40,2,0),"")</f>
        <v/>
      </c>
      <c r="K135" s="186"/>
      <c r="L135" s="179" t="str">
        <f>IFERROR(VLOOKUP(B135,Buildings!$B$9:$H$41,3,0),"")</f>
        <v/>
      </c>
      <c r="M135" s="210" t="str">
        <f>IFERROR(VLOOKUP(B135,Buildings!$B$9:$H$41,7,0),"")</f>
        <v/>
      </c>
      <c r="N135" s="1556" t="str">
        <f>IFERROR(VLOOKUP($C135&amp;"|"&amp;$D135,'Carbon factors'!$D$7:$E$361,2,0),"")</f>
        <v/>
      </c>
      <c r="O135" s="501" t="str">
        <f t="shared" si="6"/>
        <v/>
      </c>
      <c r="P135" s="179" t="str" cm="1">
        <f t="array" ref="P135">IFERROR(_xlfn.IFS(L135="Y","Scope 1",L135="N","Scope 3",L135="Unknown","Manually Select Scope -&gt;"),"")</f>
        <v/>
      </c>
      <c r="Q135" s="1236"/>
      <c r="R135" s="674" t="str">
        <f t="shared" si="7"/>
        <v/>
      </c>
      <c r="U135" s="1297" t="str">
        <f>IFERROR(($E135*(VLOOKUP($C135&amp;"|"&amp;$D135,'Carbon factors'!$D$7:$H$361,3,0))),"")</f>
        <v/>
      </c>
      <c r="V135" s="183" t="str">
        <f>IFERROR(($E135*(VLOOKUP($C135&amp;"|"&amp;$D135,'Carbon factors'!$D$7:$H$361,4,0))),"")</f>
        <v/>
      </c>
      <c r="W135" s="1296" t="str">
        <f>IFERROR(($E135*(VLOOKUP($C135&amp;"|"&amp;$D135,'Carbon factors'!$D$7:$H$361,5,0))),"")</f>
        <v/>
      </c>
      <c r="Y135" s="7"/>
    </row>
    <row r="136" spans="1:29" x14ac:dyDescent="0.35">
      <c r="A136" s="1814"/>
      <c r="B136" s="898"/>
      <c r="C136" s="579"/>
      <c r="D136" s="577"/>
      <c r="E136" s="577"/>
      <c r="F136" s="186"/>
      <c r="G136" s="664" t="str" cm="1">
        <f t="array" ref="G136">IFERROR((_xlfn.IFS(F136=$AC$15,"3",F136=$AC$16,"2",F136=$AC$17,"1",F136=$AC$18,"1"))*E136,"")</f>
        <v/>
      </c>
      <c r="H136" s="168"/>
      <c r="I136" s="186"/>
      <c r="J136" s="183" t="str">
        <f>IFERROR(H136/VLOOKUP(I136,'$ Conversion'!$A$9:$B$40,2,0),"")</f>
        <v/>
      </c>
      <c r="K136" s="186"/>
      <c r="L136" s="179" t="str">
        <f>IFERROR(VLOOKUP(B136,Buildings!$B$9:$H$41,3,0),"")</f>
        <v/>
      </c>
      <c r="M136" s="210" t="str">
        <f>IFERROR(VLOOKUP(B136,Buildings!$B$9:$H$41,7,0),"")</f>
        <v/>
      </c>
      <c r="N136" s="1556" t="str">
        <f>IFERROR(VLOOKUP($C136&amp;"|"&amp;$D136,'Carbon factors'!$D$7:$E$361,2,0),"")</f>
        <v/>
      </c>
      <c r="O136" s="501" t="str">
        <f t="shared" si="6"/>
        <v/>
      </c>
      <c r="P136" s="179" t="str" cm="1">
        <f t="array" ref="P136">IFERROR(_xlfn.IFS(L136="Y","Scope 1",L136="N","Scope 3",L136="Unknown","Manually Select Scope -&gt;"),"")</f>
        <v/>
      </c>
      <c r="Q136" s="1236"/>
      <c r="R136" s="674" t="str">
        <f t="shared" si="7"/>
        <v/>
      </c>
      <c r="U136" s="1297" t="str">
        <f>IFERROR(($E136*(VLOOKUP($C136&amp;"|"&amp;$D136,'Carbon factors'!$D$7:$H$361,3,0))),"")</f>
        <v/>
      </c>
      <c r="V136" s="183" t="str">
        <f>IFERROR(($E136*(VLOOKUP($C136&amp;"|"&amp;$D136,'Carbon factors'!$D$7:$H$361,4,0))),"")</f>
        <v/>
      </c>
      <c r="W136" s="1296" t="str">
        <f>IFERROR(($E136*(VLOOKUP($C136&amp;"|"&amp;$D136,'Carbon factors'!$D$7:$H$361,5,0))),"")</f>
        <v/>
      </c>
    </row>
    <row r="137" spans="1:29" x14ac:dyDescent="0.35">
      <c r="A137" s="1814"/>
      <c r="B137" s="898"/>
      <c r="C137" s="579"/>
      <c r="D137" s="577"/>
      <c r="E137" s="577"/>
      <c r="F137" s="186"/>
      <c r="G137" s="664" t="str" cm="1">
        <f t="array" ref="G137">IFERROR((_xlfn.IFS(F137=$AC$15,"3",F137=$AC$16,"2",F137=$AC$17,"1",F137=$AC$18,"1"))*E137,"")</f>
        <v/>
      </c>
      <c r="H137" s="168"/>
      <c r="I137" s="186"/>
      <c r="J137" s="183" t="str">
        <f>IFERROR(H137/VLOOKUP(I137,'$ Conversion'!$A$9:$B$40,2,0),"")</f>
        <v/>
      </c>
      <c r="K137" s="186"/>
      <c r="L137" s="179" t="str">
        <f>IFERROR(VLOOKUP(B137,Buildings!$B$9:$H$41,3,0),"")</f>
        <v/>
      </c>
      <c r="M137" s="210" t="str">
        <f>IFERROR(VLOOKUP(B137,Buildings!$B$9:$H$41,7,0),"")</f>
        <v/>
      </c>
      <c r="N137" s="1556" t="str">
        <f>IFERROR(VLOOKUP($C137&amp;"|"&amp;$D137,'Carbon factors'!$D$7:$E$361,2,0),"")</f>
        <v/>
      </c>
      <c r="O137" s="501" t="str">
        <f t="shared" si="6"/>
        <v/>
      </c>
      <c r="P137" s="179" t="str" cm="1">
        <f t="array" ref="P137">IFERROR(_xlfn.IFS(L137="Y","Scope 1",L137="N","Scope 3",L137="Unknown","Manually Select Scope -&gt;"),"")</f>
        <v/>
      </c>
      <c r="Q137" s="1236"/>
      <c r="R137" s="674" t="str">
        <f t="shared" si="7"/>
        <v/>
      </c>
      <c r="U137" s="1297" t="str">
        <f>IFERROR(($E137*(VLOOKUP($C137&amp;"|"&amp;$D137,'Carbon factors'!$D$7:$H$361,3,0))),"")</f>
        <v/>
      </c>
      <c r="V137" s="183" t="str">
        <f>IFERROR(($E137*(VLOOKUP($C137&amp;"|"&amp;$D137,'Carbon factors'!$D$7:$H$361,4,0))),"")</f>
        <v/>
      </c>
      <c r="W137" s="1296" t="str">
        <f>IFERROR(($E137*(VLOOKUP($C137&amp;"|"&amp;$D137,'Carbon factors'!$D$7:$H$361,5,0))),"")</f>
        <v/>
      </c>
      <c r="AB137" s="6"/>
    </row>
    <row r="138" spans="1:29" x14ac:dyDescent="0.35">
      <c r="A138" s="1814"/>
      <c r="B138" s="898"/>
      <c r="C138" s="579"/>
      <c r="D138" s="577"/>
      <c r="E138" s="577"/>
      <c r="F138" s="186"/>
      <c r="G138" s="664" t="str" cm="1">
        <f t="array" ref="G138">IFERROR((_xlfn.IFS(F138=$AC$15,"3",F138=$AC$16,"2",F138=$AC$17,"1",F138=$AC$18,"1"))*E138,"")</f>
        <v/>
      </c>
      <c r="H138" s="168"/>
      <c r="I138" s="186"/>
      <c r="J138" s="183" t="str">
        <f>IFERROR(H138/VLOOKUP(I138,'$ Conversion'!$A$9:$B$40,2,0),"")</f>
        <v/>
      </c>
      <c r="K138" s="186"/>
      <c r="L138" s="179" t="str">
        <f>IFERROR(VLOOKUP(B138,Buildings!$B$9:$H$41,3,0),"")</f>
        <v/>
      </c>
      <c r="M138" s="210" t="str">
        <f>IFERROR(VLOOKUP(B138,Buildings!$B$9:$H$41,7,0),"")</f>
        <v/>
      </c>
      <c r="N138" s="1556" t="str">
        <f>IFERROR(VLOOKUP($C138&amp;"|"&amp;$D138,'Carbon factors'!$D$7:$E$361,2,0),"")</f>
        <v/>
      </c>
      <c r="O138" s="501" t="str">
        <f t="shared" si="6"/>
        <v/>
      </c>
      <c r="P138" s="179" t="str" cm="1">
        <f t="array" ref="P138">IFERROR(_xlfn.IFS(L138="Y","Scope 1",L138="N","Scope 3",L138="Unknown","Manually Select Scope -&gt;"),"")</f>
        <v/>
      </c>
      <c r="Q138" s="1236"/>
      <c r="R138" s="674" t="str">
        <f t="shared" si="7"/>
        <v/>
      </c>
      <c r="U138" s="1297" t="str">
        <f>IFERROR(($E138*(VLOOKUP($C138&amp;"|"&amp;$D138,'Carbon factors'!$D$7:$H$361,3,0))),"")</f>
        <v/>
      </c>
      <c r="V138" s="183" t="str">
        <f>IFERROR(($E138*(VLOOKUP($C138&amp;"|"&amp;$D138,'Carbon factors'!$D$7:$H$361,4,0))),"")</f>
        <v/>
      </c>
      <c r="W138" s="1296" t="str">
        <f>IFERROR(($E138*(VLOOKUP($C138&amp;"|"&amp;$D138,'Carbon factors'!$D$7:$H$361,5,0))),"")</f>
        <v/>
      </c>
    </row>
    <row r="139" spans="1:29" x14ac:dyDescent="0.35">
      <c r="A139" s="1814"/>
      <c r="B139" s="898"/>
      <c r="C139" s="579"/>
      <c r="D139" s="577"/>
      <c r="E139" s="577"/>
      <c r="F139" s="186"/>
      <c r="G139" s="664" t="str" cm="1">
        <f t="array" ref="G139">IFERROR((_xlfn.IFS(F139=$AC$15,"3",F139=$AC$16,"2",F139=$AC$17,"1",F139=$AC$18,"1"))*E139,"")</f>
        <v/>
      </c>
      <c r="H139" s="168"/>
      <c r="I139" s="186"/>
      <c r="J139" s="183" t="str">
        <f>IFERROR(H139/VLOOKUP(I139,'$ Conversion'!$A$9:$B$40,2,0),"")</f>
        <v/>
      </c>
      <c r="K139" s="186"/>
      <c r="L139" s="179" t="str">
        <f>IFERROR(VLOOKUP(B139,Buildings!$B$9:$H$41,3,0),"")</f>
        <v/>
      </c>
      <c r="M139" s="210" t="str">
        <f>IFERROR(VLOOKUP(B139,Buildings!$B$9:$H$41,7,0),"")</f>
        <v/>
      </c>
      <c r="N139" s="1556" t="str">
        <f>IFERROR(VLOOKUP($C139&amp;"|"&amp;$D139,'Carbon factors'!$D$7:$E$361,2,0),"")</f>
        <v/>
      </c>
      <c r="O139" s="501" t="str">
        <f t="shared" si="6"/>
        <v/>
      </c>
      <c r="P139" s="179" t="str" cm="1">
        <f t="array" ref="P139">IFERROR(_xlfn.IFS(L139="Y","Scope 1",L139="N","Scope 3",L139="Unknown","Manually Select Scope -&gt;"),"")</f>
        <v/>
      </c>
      <c r="Q139" s="1236"/>
      <c r="R139" s="674" t="str">
        <f t="shared" si="7"/>
        <v/>
      </c>
      <c r="U139" s="1297" t="str">
        <f>IFERROR(($E139*(VLOOKUP($C139&amp;"|"&amp;$D139,'Carbon factors'!$D$7:$H$361,3,0))),"")</f>
        <v/>
      </c>
      <c r="V139" s="183" t="str">
        <f>IFERROR(($E139*(VLOOKUP($C139&amp;"|"&amp;$D139,'Carbon factors'!$D$7:$H$361,4,0))),"")</f>
        <v/>
      </c>
      <c r="W139" s="1296" t="str">
        <f>IFERROR(($E139*(VLOOKUP($C139&amp;"|"&amp;$D139,'Carbon factors'!$D$7:$H$361,5,0))),"")</f>
        <v/>
      </c>
    </row>
    <row r="140" spans="1:29" x14ac:dyDescent="0.35">
      <c r="A140" s="1814"/>
      <c r="B140" s="898"/>
      <c r="C140" s="579"/>
      <c r="D140" s="577"/>
      <c r="E140" s="577"/>
      <c r="F140" s="186"/>
      <c r="G140" s="664" t="str" cm="1">
        <f t="array" ref="G140">IFERROR((_xlfn.IFS(F140=$AC$15,"3",F140=$AC$16,"2",F140=$AC$17,"1",F140=$AC$18,"1"))*E140,"")</f>
        <v/>
      </c>
      <c r="H140" s="168"/>
      <c r="I140" s="186"/>
      <c r="J140" s="183" t="str">
        <f>IFERROR(H140/VLOOKUP(I140,'$ Conversion'!$A$9:$B$40,2,0),"")</f>
        <v/>
      </c>
      <c r="K140" s="186"/>
      <c r="L140" s="179" t="str">
        <f>IFERROR(VLOOKUP(B140,Buildings!$B$9:$H$41,3,0),"")</f>
        <v/>
      </c>
      <c r="M140" s="210" t="str">
        <f>IFERROR(VLOOKUP(B140,Buildings!$B$9:$H$41,7,0),"")</f>
        <v/>
      </c>
      <c r="N140" s="1556" t="str">
        <f>IFERROR(VLOOKUP($C140&amp;"|"&amp;$D140,'Carbon factors'!$D$7:$E$361,2,0),"")</f>
        <v/>
      </c>
      <c r="O140" s="501" t="str">
        <f t="shared" si="6"/>
        <v/>
      </c>
      <c r="P140" s="179" t="str" cm="1">
        <f t="array" ref="P140">IFERROR(_xlfn.IFS(L140="Y","Scope 1",L140="N","Scope 3",L140="Unknown","Manually Select Scope -&gt;"),"")</f>
        <v/>
      </c>
      <c r="Q140" s="1236"/>
      <c r="R140" s="674" t="str">
        <f t="shared" si="7"/>
        <v/>
      </c>
      <c r="U140" s="1297" t="str">
        <f>IFERROR(($E140*(VLOOKUP($C140&amp;"|"&amp;$D140,'Carbon factors'!$D$7:$H$361,3,0))),"")</f>
        <v/>
      </c>
      <c r="V140" s="183" t="str">
        <f>IFERROR(($E140*(VLOOKUP($C140&amp;"|"&amp;$D140,'Carbon factors'!$D$7:$H$361,4,0))),"")</f>
        <v/>
      </c>
      <c r="W140" s="1296" t="str">
        <f>IFERROR(($E140*(VLOOKUP($C140&amp;"|"&amp;$D140,'Carbon factors'!$D$7:$H$361,5,0))),"")</f>
        <v/>
      </c>
    </row>
    <row r="141" spans="1:29" x14ac:dyDescent="0.35">
      <c r="A141" s="1814"/>
      <c r="B141" s="898"/>
      <c r="C141" s="579"/>
      <c r="D141" s="577"/>
      <c r="E141" s="577"/>
      <c r="F141" s="186"/>
      <c r="G141" s="664" t="str" cm="1">
        <f t="array" ref="G141">IFERROR((_xlfn.IFS(F141=$AC$15,"3",F141=$AC$16,"2",F141=$AC$17,"1",F141=$AC$18,"1"))*E141,"")</f>
        <v/>
      </c>
      <c r="H141" s="168"/>
      <c r="I141" s="186"/>
      <c r="J141" s="183" t="str">
        <f>IFERROR(H141/VLOOKUP(I141,'$ Conversion'!$A$9:$B$40,2,0),"")</f>
        <v/>
      </c>
      <c r="K141" s="186"/>
      <c r="L141" s="179" t="str">
        <f>IFERROR(VLOOKUP(B141,Buildings!$B$9:$H$41,3,0),"")</f>
        <v/>
      </c>
      <c r="M141" s="210" t="str">
        <f>IFERROR(VLOOKUP(B141,Buildings!$B$9:$H$41,7,0),"")</f>
        <v/>
      </c>
      <c r="N141" s="1556" t="str">
        <f>IFERROR(VLOOKUP($C141&amp;"|"&amp;$D141,'Carbon factors'!$D$7:$E$361,2,0),"")</f>
        <v/>
      </c>
      <c r="O141" s="501" t="str">
        <f t="shared" si="6"/>
        <v/>
      </c>
      <c r="P141" s="179" t="str" cm="1">
        <f t="array" ref="P141">IFERROR(_xlfn.IFS(L141="Y","Scope 1",L141="N","Scope 3",L141="Unknown","Manually Select Scope -&gt;"),"")</f>
        <v/>
      </c>
      <c r="Q141" s="1236"/>
      <c r="R141" s="674" t="str">
        <f t="shared" si="7"/>
        <v/>
      </c>
      <c r="U141" s="1297" t="str">
        <f>IFERROR(($E141*(VLOOKUP($C141&amp;"|"&amp;$D141,'Carbon factors'!$D$7:$H$361,3,0))),"")</f>
        <v/>
      </c>
      <c r="V141" s="183" t="str">
        <f>IFERROR(($E141*(VLOOKUP($C141&amp;"|"&amp;$D141,'Carbon factors'!$D$7:$H$361,4,0))),"")</f>
        <v/>
      </c>
      <c r="W141" s="1296" t="str">
        <f>IFERROR(($E141*(VLOOKUP($C141&amp;"|"&amp;$D141,'Carbon factors'!$D$7:$H$361,5,0))),"")</f>
        <v/>
      </c>
    </row>
    <row r="142" spans="1:29" ht="15" thickBot="1" x14ac:dyDescent="0.4">
      <c r="A142" s="1814"/>
      <c r="B142" s="1178"/>
      <c r="C142" s="580"/>
      <c r="D142" s="575"/>
      <c r="E142" s="575"/>
      <c r="F142" s="188"/>
      <c r="G142" s="667" t="str" cm="1">
        <f t="array" ref="G142">IFERROR((_xlfn.IFS(F142=$AC$15,"3",F142=$AC$16,"2",F142=$AC$17,"1",F142=$AC$18,"1"))*E142,"")</f>
        <v/>
      </c>
      <c r="H142" s="187"/>
      <c r="I142" s="188"/>
      <c r="J142" s="184" t="str">
        <f>IFERROR(H142/VLOOKUP(I142,'$ Conversion'!$A$9:$B$40,2,0),"")</f>
        <v/>
      </c>
      <c r="K142" s="188"/>
      <c r="L142" s="180" t="str">
        <f>IFERROR(VLOOKUP(B142,Buildings!$B$9:$H$41,3,0),"")</f>
        <v/>
      </c>
      <c r="M142" s="211" t="str">
        <f>IFERROR(VLOOKUP(B142,Buildings!$B$9:$H$41,7,0),"")</f>
        <v/>
      </c>
      <c r="N142" s="1557" t="str">
        <f>IFERROR(VLOOKUP($C142&amp;"|"&amp;$D142,'Carbon factors'!$D$7:$E$361,2,0),"")</f>
        <v/>
      </c>
      <c r="O142" s="502" t="str">
        <f t="shared" si="6"/>
        <v/>
      </c>
      <c r="P142" s="180" t="str" cm="1">
        <f t="array" ref="P142">IFERROR(_xlfn.IFS(L142="Y","Scope 1",L142="N","Scope 3",L142="Unknown","Manually Select Scope -&gt;"),"")</f>
        <v/>
      </c>
      <c r="Q142" s="1237"/>
      <c r="R142" s="675" t="str">
        <f t="shared" si="7"/>
        <v/>
      </c>
      <c r="U142" s="1297" t="str">
        <f>IFERROR(($E142*(VLOOKUP($C142&amp;"|"&amp;$D142,'Carbon factors'!$D$7:$H$361,3,0))),"")</f>
        <v/>
      </c>
      <c r="V142" s="183" t="str">
        <f>IFERROR(($E142*(VLOOKUP($C142&amp;"|"&amp;$D142,'Carbon factors'!$D$7:$H$361,4,0))),"")</f>
        <v/>
      </c>
      <c r="W142" s="1296" t="str">
        <f>IFERROR(($E142*(VLOOKUP($C142&amp;"|"&amp;$D142,'Carbon factors'!$D$7:$H$361,5,0))),"")</f>
        <v/>
      </c>
    </row>
    <row r="143" spans="1:29" ht="175" x14ac:dyDescent="0.45">
      <c r="A143" s="823" t="s">
        <v>527</v>
      </c>
      <c r="B143" s="1179" t="s">
        <v>626</v>
      </c>
      <c r="C143" s="915" t="s">
        <v>532</v>
      </c>
      <c r="D143" s="916" t="s">
        <v>533</v>
      </c>
      <c r="E143" s="916" t="s">
        <v>534</v>
      </c>
      <c r="F143" s="917" t="s">
        <v>535</v>
      </c>
      <c r="G143" s="918" t="s">
        <v>536</v>
      </c>
      <c r="H143" s="917" t="s">
        <v>537</v>
      </c>
      <c r="I143" s="917" t="s">
        <v>142</v>
      </c>
      <c r="J143" s="917" t="s">
        <v>538</v>
      </c>
      <c r="K143" s="530" t="s">
        <v>619</v>
      </c>
      <c r="L143" s="917" t="s">
        <v>540</v>
      </c>
      <c r="M143" s="530" t="s">
        <v>541</v>
      </c>
      <c r="N143" s="1177" t="s">
        <v>542</v>
      </c>
      <c r="O143" s="919" t="s">
        <v>543</v>
      </c>
      <c r="P143" s="917" t="s">
        <v>544</v>
      </c>
      <c r="Q143" s="1231" t="s">
        <v>545</v>
      </c>
      <c r="R143" s="671" t="s">
        <v>546</v>
      </c>
      <c r="U143" s="1447" t="s">
        <v>178</v>
      </c>
      <c r="V143" s="1448" t="s">
        <v>179</v>
      </c>
      <c r="W143" s="1449" t="s">
        <v>180</v>
      </c>
    </row>
    <row r="144" spans="1:29" ht="75.75" customHeight="1" thickBot="1" x14ac:dyDescent="0.4">
      <c r="A144" s="1812" t="s">
        <v>627</v>
      </c>
      <c r="B144" s="1180" t="s">
        <v>554</v>
      </c>
      <c r="C144" s="477" t="s">
        <v>329</v>
      </c>
      <c r="D144" s="191" t="s">
        <v>329</v>
      </c>
      <c r="E144" s="192" t="s">
        <v>624</v>
      </c>
      <c r="F144" s="191" t="s">
        <v>329</v>
      </c>
      <c r="G144" s="662"/>
      <c r="H144" s="191" t="s">
        <v>467</v>
      </c>
      <c r="I144" s="191" t="s">
        <v>329</v>
      </c>
      <c r="J144" s="191" t="s">
        <v>556</v>
      </c>
      <c r="K144" s="474" t="s">
        <v>628</v>
      </c>
      <c r="L144" s="191" t="s">
        <v>558</v>
      </c>
      <c r="M144" s="474" t="s">
        <v>558</v>
      </c>
      <c r="N144" s="1176" t="s">
        <v>614</v>
      </c>
      <c r="O144" s="662" t="s">
        <v>560</v>
      </c>
      <c r="P144" s="191" t="s">
        <v>561</v>
      </c>
      <c r="Q144" s="1232" t="s">
        <v>562</v>
      </c>
      <c r="R144" s="677" t="s">
        <v>556</v>
      </c>
      <c r="U144" s="1450" t="s">
        <v>202</v>
      </c>
      <c r="V144" s="1451" t="s">
        <v>202</v>
      </c>
      <c r="W144" s="1452" t="s">
        <v>202</v>
      </c>
    </row>
    <row r="145" spans="1:23" x14ac:dyDescent="0.35">
      <c r="A145" s="1812"/>
      <c r="B145" s="824"/>
      <c r="C145" s="850"/>
      <c r="D145" s="574"/>
      <c r="E145" s="574"/>
      <c r="F145" s="186"/>
      <c r="G145" s="664" t="str" cm="1">
        <f t="array" ref="G145">IFERROR((_xlfn.IFS(F145=$AC$15,"3",F145=$AC$16,"2",F145=$AC$17,"1",F145=$AC$18,"1"))*E145,"")</f>
        <v/>
      </c>
      <c r="H145" s="166"/>
      <c r="I145" s="198"/>
      <c r="J145" s="183" t="str">
        <f>IFERROR(H145/VLOOKUP(I145,'$ Conversion'!$A$9:$B$40,2,0),"")</f>
        <v/>
      </c>
      <c r="K145" s="200"/>
      <c r="L145" s="819" t="str">
        <f>IFERROR(VLOOKUP(B145,Buildings!$B$9:$H$41,3,0),"")</f>
        <v/>
      </c>
      <c r="M145" s="449" t="str">
        <f>IFERROR(VLOOKUP(B145,Buildings!$B$9:$H$41,7,0),"")</f>
        <v/>
      </c>
      <c r="N145" s="1556" t="str">
        <f>IFERROR(VLOOKUP($C145&amp;"|"&amp;$D145,'Carbon factors'!$D$7:$E$361,2,0),"")</f>
        <v/>
      </c>
      <c r="O145" s="501" t="str">
        <f t="shared" ref="O145:O174" si="8">IFERROR(E145*N145,"")</f>
        <v/>
      </c>
      <c r="P145" s="819" t="str" cm="1">
        <f t="array" ref="P145">IFERROR(_xlfn.IFS(L145="Y","Scope 1",L145="N","Scope 3",L145="Unknown","Manually Select Scope -&gt;"),"")</f>
        <v/>
      </c>
      <c r="Q145" s="1229"/>
      <c r="R145" s="680" t="str">
        <f t="shared" ref="R145:R174" si="9">IFERROR((J145*E145),"")</f>
        <v/>
      </c>
      <c r="U145" s="1297" t="str">
        <f>IFERROR(($E145*(VLOOKUP($C145&amp;"|"&amp;$D145,'Carbon factors'!$D$7:$H$361,3,0))),"")</f>
        <v/>
      </c>
      <c r="V145" s="183" t="str">
        <f>IFERROR(($E145*(VLOOKUP($C145&amp;"|"&amp;$D145,'Carbon factors'!$D$7:$H$361,4,0))),"")</f>
        <v/>
      </c>
      <c r="W145" s="1296" t="str">
        <f>IFERROR(($E145*(VLOOKUP($C145&amp;"|"&amp;$D145,'Carbon factors'!$D$7:$H$361,5,0))),"")</f>
        <v/>
      </c>
    </row>
    <row r="146" spans="1:23" x14ac:dyDescent="0.35">
      <c r="A146" s="1812"/>
      <c r="B146" s="824"/>
      <c r="C146" s="850"/>
      <c r="D146" s="574"/>
      <c r="E146" s="574"/>
      <c r="F146" s="186"/>
      <c r="G146" s="664" t="str" cm="1">
        <f t="array" ref="G146">IFERROR((_xlfn.IFS(F146=$AC$15,"3",F146=$AC$16,"2",F146=$AC$17,"1",F146=$AC$18,"1"))*E146,"")</f>
        <v/>
      </c>
      <c r="H146" s="166"/>
      <c r="I146" s="198"/>
      <c r="J146" s="183" t="str">
        <f>IFERROR(H146/VLOOKUP(I146,'$ Conversion'!$A$9:$B$40,2,0),"")</f>
        <v/>
      </c>
      <c r="K146" s="200"/>
      <c r="L146" s="819" t="str">
        <f>IFERROR(VLOOKUP(B146,Buildings!$B$9:$H$41,3,0),"")</f>
        <v/>
      </c>
      <c r="M146" s="449" t="str">
        <f>IFERROR(VLOOKUP(B146,Buildings!$B$9:$H$41,7,0),"")</f>
        <v/>
      </c>
      <c r="N146" s="1556" t="str">
        <f>IFERROR(VLOOKUP($C146&amp;"|"&amp;$D146,'Carbon factors'!$D$7:$E$361,2,0),"")</f>
        <v/>
      </c>
      <c r="O146" s="501" t="str">
        <f t="shared" si="8"/>
        <v/>
      </c>
      <c r="P146" s="819" t="str" cm="1">
        <f t="array" ref="P146">IFERROR(_xlfn.IFS(L146="Y","Scope 1",L146="N","Scope 3",L146="Unknown","Manually Select Scope -&gt;"),"")</f>
        <v/>
      </c>
      <c r="Q146" s="1229"/>
      <c r="R146" s="674" t="str">
        <f t="shared" si="9"/>
        <v/>
      </c>
      <c r="U146" s="1297" t="str">
        <f>IFERROR(($E146*(VLOOKUP($C146&amp;"|"&amp;$D146,'Carbon factors'!$D$7:$H$361,3,0))),"")</f>
        <v/>
      </c>
      <c r="V146" s="183" t="str">
        <f>IFERROR(($E146*(VLOOKUP($C146&amp;"|"&amp;$D146,'Carbon factors'!$D$7:$H$361,4,0))),"")</f>
        <v/>
      </c>
      <c r="W146" s="1296" t="str">
        <f>IFERROR(($E146*(VLOOKUP($C146&amp;"|"&amp;$D146,'Carbon factors'!$D$7:$H$361,5,0))),"")</f>
        <v/>
      </c>
    </row>
    <row r="147" spans="1:23" x14ac:dyDescent="0.35">
      <c r="A147" s="1812"/>
      <c r="B147" s="824"/>
      <c r="C147" s="850"/>
      <c r="D147" s="574"/>
      <c r="E147" s="574"/>
      <c r="F147" s="186"/>
      <c r="G147" s="664" t="str" cm="1">
        <f t="array" ref="G147">IFERROR((_xlfn.IFS(F147=$AC$15,"3",F147=$AC$16,"2",F147=$AC$17,"1",F147=$AC$18,"1"))*E147,"")</f>
        <v/>
      </c>
      <c r="H147" s="166"/>
      <c r="I147" s="198"/>
      <c r="J147" s="183" t="str">
        <f>IFERROR(H147/VLOOKUP(I147,'$ Conversion'!$A$9:$B$40,2,0),"")</f>
        <v/>
      </c>
      <c r="K147" s="200"/>
      <c r="L147" s="819" t="str">
        <f>IFERROR(VLOOKUP(B147,Buildings!$B$9:$H$41,3,0),"")</f>
        <v/>
      </c>
      <c r="M147" s="449" t="str">
        <f>IFERROR(VLOOKUP(B147,Buildings!$B$9:$H$41,7,0),"")</f>
        <v/>
      </c>
      <c r="N147" s="1556" t="str">
        <f>IFERROR(VLOOKUP($C147&amp;"|"&amp;$D147,'Carbon factors'!$D$7:$E$361,2,0),"")</f>
        <v/>
      </c>
      <c r="O147" s="501" t="str">
        <f t="shared" si="8"/>
        <v/>
      </c>
      <c r="P147" s="819" t="str" cm="1">
        <f t="array" ref="P147">IFERROR(_xlfn.IFS(L147="Y","Scope 1",L147="N","Scope 3",L147="Unknown","Manually Select Scope -&gt;"),"")</f>
        <v/>
      </c>
      <c r="Q147" s="1229"/>
      <c r="R147" s="674" t="str">
        <f t="shared" si="9"/>
        <v/>
      </c>
      <c r="U147" s="1297" t="str">
        <f>IFERROR(($E147*(VLOOKUP($C147&amp;"|"&amp;$D147,'Carbon factors'!$D$7:$H$361,3,0))),"")</f>
        <v/>
      </c>
      <c r="V147" s="183" t="str">
        <f>IFERROR(($E147*(VLOOKUP($C147&amp;"|"&amp;$D147,'Carbon factors'!$D$7:$H$361,4,0))),"")</f>
        <v/>
      </c>
      <c r="W147" s="1296" t="str">
        <f>IFERROR(($E147*(VLOOKUP($C147&amp;"|"&amp;$D147,'Carbon factors'!$D$7:$H$361,5,0))),"")</f>
        <v/>
      </c>
    </row>
    <row r="148" spans="1:23" x14ac:dyDescent="0.35">
      <c r="A148" s="1812"/>
      <c r="B148" s="824"/>
      <c r="C148" s="850"/>
      <c r="D148" s="574"/>
      <c r="E148" s="574"/>
      <c r="F148" s="186"/>
      <c r="G148" s="664" t="str" cm="1">
        <f t="array" ref="G148">IFERROR((_xlfn.IFS(F148=$AC$15,"3",F148=$AC$16,"2",F148=$AC$17,"1",F148=$AC$18,"1"))*E148,"")</f>
        <v/>
      </c>
      <c r="H148" s="166"/>
      <c r="I148" s="198"/>
      <c r="J148" s="183" t="str">
        <f>IFERROR(H148/VLOOKUP(I148,'$ Conversion'!$A$9:$B$40,2,0),"")</f>
        <v/>
      </c>
      <c r="K148" s="200"/>
      <c r="L148" s="819" t="str">
        <f>IFERROR(VLOOKUP(B148,Buildings!$B$9:$H$41,3,0),"")</f>
        <v/>
      </c>
      <c r="M148" s="449" t="str">
        <f>IFERROR(VLOOKUP(B148,Buildings!$B$9:$H$41,7,0),"")</f>
        <v/>
      </c>
      <c r="N148" s="1556" t="str">
        <f>IFERROR(VLOOKUP($C148&amp;"|"&amp;$D148,'Carbon factors'!$D$7:$E$361,2,0),"")</f>
        <v/>
      </c>
      <c r="O148" s="501" t="str">
        <f t="shared" si="8"/>
        <v/>
      </c>
      <c r="P148" s="819" t="str" cm="1">
        <f t="array" ref="P148">IFERROR(_xlfn.IFS(L148="Y","Scope 1",L148="N","Scope 3",L148="Unknown","Manually Select Scope -&gt;"),"")</f>
        <v/>
      </c>
      <c r="Q148" s="1229"/>
      <c r="R148" s="674" t="str">
        <f t="shared" si="9"/>
        <v/>
      </c>
      <c r="U148" s="1297" t="str">
        <f>IFERROR(($E148*(VLOOKUP($C148&amp;"|"&amp;$D148,'Carbon factors'!$D$7:$H$361,3,0))),"")</f>
        <v/>
      </c>
      <c r="V148" s="183" t="str">
        <f>IFERROR(($E148*(VLOOKUP($C148&amp;"|"&amp;$D148,'Carbon factors'!$D$7:$H$361,4,0))),"")</f>
        <v/>
      </c>
      <c r="W148" s="1296" t="str">
        <f>IFERROR(($E148*(VLOOKUP($C148&amp;"|"&amp;$D148,'Carbon factors'!$D$7:$H$361,5,0))),"")</f>
        <v/>
      </c>
    </row>
    <row r="149" spans="1:23" x14ac:dyDescent="0.35">
      <c r="A149" s="1812"/>
      <c r="B149" s="824"/>
      <c r="C149" s="850"/>
      <c r="D149" s="574"/>
      <c r="E149" s="574"/>
      <c r="F149" s="186"/>
      <c r="G149" s="664" t="str" cm="1">
        <f t="array" ref="G149">IFERROR((_xlfn.IFS(F149=$AC$15,"3",F149=$AC$16,"2",F149=$AC$17,"1",F149=$AC$18,"1"))*E149,"")</f>
        <v/>
      </c>
      <c r="H149" s="166"/>
      <c r="I149" s="198"/>
      <c r="J149" s="183" t="str">
        <f>IFERROR(H149/VLOOKUP(I149,'$ Conversion'!$A$9:$B$40,2,0),"")</f>
        <v/>
      </c>
      <c r="K149" s="200"/>
      <c r="L149" s="819" t="str">
        <f>IFERROR(VLOOKUP(B149,Buildings!$B$9:$H$41,3,0),"")</f>
        <v/>
      </c>
      <c r="M149" s="449" t="str">
        <f>IFERROR(VLOOKUP(B149,Buildings!$B$9:$H$41,7,0),"")</f>
        <v/>
      </c>
      <c r="N149" s="1556" t="str">
        <f>IFERROR(VLOOKUP($C149&amp;"|"&amp;$D149,'Carbon factors'!$D$7:$E$361,2,0),"")</f>
        <v/>
      </c>
      <c r="O149" s="501" t="str">
        <f t="shared" si="8"/>
        <v/>
      </c>
      <c r="P149" s="819" t="str" cm="1">
        <f t="array" ref="P149">IFERROR(_xlfn.IFS(L149="Y","Scope 1",L149="N","Scope 3",L149="Unknown","Manually Select Scope -&gt;"),"")</f>
        <v/>
      </c>
      <c r="Q149" s="1229"/>
      <c r="R149" s="674" t="str">
        <f t="shared" si="9"/>
        <v/>
      </c>
      <c r="U149" s="1297" t="str">
        <f>IFERROR(($E149*(VLOOKUP($C149&amp;"|"&amp;$D149,'Carbon factors'!$D$7:$H$361,3,0))),"")</f>
        <v/>
      </c>
      <c r="V149" s="183" t="str">
        <f>IFERROR(($E149*(VLOOKUP($C149&amp;"|"&amp;$D149,'Carbon factors'!$D$7:$H$361,4,0))),"")</f>
        <v/>
      </c>
      <c r="W149" s="1296" t="str">
        <f>IFERROR(($E149*(VLOOKUP($C149&amp;"|"&amp;$D149,'Carbon factors'!$D$7:$H$361,5,0))),"")</f>
        <v/>
      </c>
    </row>
    <row r="150" spans="1:23" x14ac:dyDescent="0.35">
      <c r="A150" s="1812"/>
      <c r="B150" s="824"/>
      <c r="C150" s="850"/>
      <c r="D150" s="574"/>
      <c r="E150" s="574"/>
      <c r="F150" s="186"/>
      <c r="G150" s="664" t="str" cm="1">
        <f t="array" ref="G150">IFERROR((_xlfn.IFS(F150=$AC$15,"3",F150=$AC$16,"2",F150=$AC$17,"1",F150=$AC$18,"1"))*E150,"")</f>
        <v/>
      </c>
      <c r="H150" s="166"/>
      <c r="I150" s="198"/>
      <c r="J150" s="183" t="str">
        <f>IFERROR(H150/VLOOKUP(I150,'$ Conversion'!$A$9:$B$40,2,0),"")</f>
        <v/>
      </c>
      <c r="K150" s="200"/>
      <c r="L150" s="819" t="str">
        <f>IFERROR(VLOOKUP(B150,Buildings!$B$9:$H$41,3,0),"")</f>
        <v/>
      </c>
      <c r="M150" s="449" t="str">
        <f>IFERROR(VLOOKUP(B150,Buildings!$B$9:$H$41,7,0),"")</f>
        <v/>
      </c>
      <c r="N150" s="1556" t="str">
        <f>IFERROR(VLOOKUP($C150&amp;"|"&amp;$D150,'Carbon factors'!$D$7:$E$361,2,0),"")</f>
        <v/>
      </c>
      <c r="O150" s="501" t="str">
        <f t="shared" si="8"/>
        <v/>
      </c>
      <c r="P150" s="819" t="str" cm="1">
        <f t="array" ref="P150">IFERROR(_xlfn.IFS(L150="Y","Scope 1",L150="N","Scope 3",L150="Unknown","Manually Select Scope -&gt;"),"")</f>
        <v/>
      </c>
      <c r="Q150" s="1229"/>
      <c r="R150" s="674" t="str">
        <f t="shared" si="9"/>
        <v/>
      </c>
      <c r="U150" s="1297" t="str">
        <f>IFERROR(($E150*(VLOOKUP($C150&amp;"|"&amp;$D150,'Carbon factors'!$D$7:$H$361,3,0))),"")</f>
        <v/>
      </c>
      <c r="V150" s="183" t="str">
        <f>IFERROR(($E150*(VLOOKUP($C150&amp;"|"&amp;$D150,'Carbon factors'!$D$7:$H$361,4,0))),"")</f>
        <v/>
      </c>
      <c r="W150" s="1296" t="str">
        <f>IFERROR(($E150*(VLOOKUP($C150&amp;"|"&amp;$D150,'Carbon factors'!$D$7:$H$361,5,0))),"")</f>
        <v/>
      </c>
    </row>
    <row r="151" spans="1:23" x14ac:dyDescent="0.35">
      <c r="A151" s="1812"/>
      <c r="B151" s="824"/>
      <c r="C151" s="850"/>
      <c r="D151" s="574"/>
      <c r="E151" s="574"/>
      <c r="F151" s="186"/>
      <c r="G151" s="664" t="str" cm="1">
        <f t="array" ref="G151">IFERROR((_xlfn.IFS(F151=$AC$15,"3",F151=$AC$16,"2",F151=$AC$17,"1",F151=$AC$18,"1"))*E151,"")</f>
        <v/>
      </c>
      <c r="H151" s="166"/>
      <c r="I151" s="198"/>
      <c r="J151" s="183" t="str">
        <f>IFERROR(H151/VLOOKUP(I151,'$ Conversion'!$A$9:$B$40,2,0),"")</f>
        <v/>
      </c>
      <c r="K151" s="200"/>
      <c r="L151" s="819" t="str">
        <f>IFERROR(VLOOKUP(B151,Buildings!$B$9:$H$41,3,0),"")</f>
        <v/>
      </c>
      <c r="M151" s="449" t="str">
        <f>IFERROR(VLOOKUP(B151,Buildings!$B$9:$H$41,7,0),"")</f>
        <v/>
      </c>
      <c r="N151" s="1556" t="str">
        <f>IFERROR(VLOOKUP($C151&amp;"|"&amp;$D151,'Carbon factors'!$D$7:$E$361,2,0),"")</f>
        <v/>
      </c>
      <c r="O151" s="501" t="str">
        <f t="shared" si="8"/>
        <v/>
      </c>
      <c r="P151" s="819" t="str" cm="1">
        <f t="array" ref="P151">IFERROR(_xlfn.IFS(L151="Y","Scope 1",L151="N","Scope 3",L151="Unknown","Manually Select Scope -&gt;"),"")</f>
        <v/>
      </c>
      <c r="Q151" s="1229"/>
      <c r="R151" s="674" t="str">
        <f t="shared" si="9"/>
        <v/>
      </c>
      <c r="U151" s="1297" t="str">
        <f>IFERROR(($E151*(VLOOKUP($C151&amp;"|"&amp;$D151,'Carbon factors'!$D$7:$H$361,3,0))),"")</f>
        <v/>
      </c>
      <c r="V151" s="183" t="str">
        <f>IFERROR(($E151*(VLOOKUP($C151&amp;"|"&amp;$D151,'Carbon factors'!$D$7:$H$361,4,0))),"")</f>
        <v/>
      </c>
      <c r="W151" s="1296" t="str">
        <f>IFERROR(($E151*(VLOOKUP($C151&amp;"|"&amp;$D151,'Carbon factors'!$D$7:$H$361,5,0))),"")</f>
        <v/>
      </c>
    </row>
    <row r="152" spans="1:23" x14ac:dyDescent="0.35">
      <c r="A152" s="1812"/>
      <c r="B152" s="824"/>
      <c r="C152" s="850"/>
      <c r="D152" s="574"/>
      <c r="E152" s="574"/>
      <c r="F152" s="186"/>
      <c r="G152" s="664" t="str" cm="1">
        <f t="array" ref="G152">IFERROR((_xlfn.IFS(F152=$AC$15,"3",F152=$AC$16,"2",F152=$AC$17,"1",F152=$AC$18,"1"))*E152,"")</f>
        <v/>
      </c>
      <c r="H152" s="166"/>
      <c r="I152" s="198"/>
      <c r="J152" s="183" t="str">
        <f>IFERROR(H152/VLOOKUP(I152,'$ Conversion'!$A$9:$B$40,2,0),"")</f>
        <v/>
      </c>
      <c r="K152" s="200"/>
      <c r="L152" s="819" t="str">
        <f>IFERROR(VLOOKUP(B152,Buildings!$B$9:$H$41,3,0),"")</f>
        <v/>
      </c>
      <c r="M152" s="449" t="str">
        <f>IFERROR(VLOOKUP(B152,Buildings!$B$9:$H$41,7,0),"")</f>
        <v/>
      </c>
      <c r="N152" s="1556" t="str">
        <f>IFERROR(VLOOKUP($C152&amp;"|"&amp;$D152,'Carbon factors'!$D$7:$E$361,2,0),"")</f>
        <v/>
      </c>
      <c r="O152" s="501" t="str">
        <f t="shared" si="8"/>
        <v/>
      </c>
      <c r="P152" s="819" t="str" cm="1">
        <f t="array" ref="P152">IFERROR(_xlfn.IFS(L152="Y","Scope 1",L152="N","Scope 3",L152="Unknown","Manually Select Scope -&gt;"),"")</f>
        <v/>
      </c>
      <c r="Q152" s="1229"/>
      <c r="R152" s="674" t="str">
        <f t="shared" si="9"/>
        <v/>
      </c>
      <c r="U152" s="1297" t="str">
        <f>IFERROR(($E152*(VLOOKUP($C152&amp;"|"&amp;$D152,'Carbon factors'!$D$7:$H$361,3,0))),"")</f>
        <v/>
      </c>
      <c r="V152" s="183" t="str">
        <f>IFERROR(($E152*(VLOOKUP($C152&amp;"|"&amp;$D152,'Carbon factors'!$D$7:$H$361,4,0))),"")</f>
        <v/>
      </c>
      <c r="W152" s="1296" t="str">
        <f>IFERROR(($E152*(VLOOKUP($C152&amp;"|"&amp;$D152,'Carbon factors'!$D$7:$H$361,5,0))),"")</f>
        <v/>
      </c>
    </row>
    <row r="153" spans="1:23" x14ac:dyDescent="0.35">
      <c r="A153" s="1812"/>
      <c r="B153" s="824"/>
      <c r="C153" s="850"/>
      <c r="D153" s="574"/>
      <c r="E153" s="574"/>
      <c r="F153" s="186"/>
      <c r="G153" s="664" t="str" cm="1">
        <f t="array" ref="G153">IFERROR((_xlfn.IFS(F153=$AC$15,"3",F153=$AC$16,"2",F153=$AC$17,"1",F153=$AC$18,"1"))*E153,"")</f>
        <v/>
      </c>
      <c r="H153" s="166"/>
      <c r="I153" s="198"/>
      <c r="J153" s="183" t="str">
        <f>IFERROR(H153/VLOOKUP(I153,'$ Conversion'!$A$9:$B$40,2,0),"")</f>
        <v/>
      </c>
      <c r="K153" s="200"/>
      <c r="L153" s="819" t="str">
        <f>IFERROR(VLOOKUP(B153,Buildings!$B$9:$H$41,3,0),"")</f>
        <v/>
      </c>
      <c r="M153" s="449" t="str">
        <f>IFERROR(VLOOKUP(B153,Buildings!$B$9:$H$41,7,0),"")</f>
        <v/>
      </c>
      <c r="N153" s="1556" t="str">
        <f>IFERROR(VLOOKUP($C153&amp;"|"&amp;$D153,'Carbon factors'!$D$7:$E$361,2,0),"")</f>
        <v/>
      </c>
      <c r="O153" s="501" t="str">
        <f t="shared" si="8"/>
        <v/>
      </c>
      <c r="P153" s="819" t="str" cm="1">
        <f t="array" ref="P153">IFERROR(_xlfn.IFS(L153="Y","Scope 1",L153="N","Scope 3",L153="Unknown","Manually Select Scope -&gt;"),"")</f>
        <v/>
      </c>
      <c r="Q153" s="1229"/>
      <c r="R153" s="674" t="str">
        <f t="shared" si="9"/>
        <v/>
      </c>
      <c r="U153" s="1297" t="str">
        <f>IFERROR(($E153*(VLOOKUP($C153&amp;"|"&amp;$D153,'Carbon factors'!$D$7:$H$361,3,0))),"")</f>
        <v/>
      </c>
      <c r="V153" s="183" t="str">
        <f>IFERROR(($E153*(VLOOKUP($C153&amp;"|"&amp;$D153,'Carbon factors'!$D$7:$H$361,4,0))),"")</f>
        <v/>
      </c>
      <c r="W153" s="1296" t="str">
        <f>IFERROR(($E153*(VLOOKUP($C153&amp;"|"&amp;$D153,'Carbon factors'!$D$7:$H$361,5,0))),"")</f>
        <v/>
      </c>
    </row>
    <row r="154" spans="1:23" x14ac:dyDescent="0.35">
      <c r="A154" s="1812"/>
      <c r="B154" s="824"/>
      <c r="C154" s="850"/>
      <c r="D154" s="574"/>
      <c r="E154" s="574"/>
      <c r="F154" s="186"/>
      <c r="G154" s="664" t="str" cm="1">
        <f t="array" ref="G154">IFERROR((_xlfn.IFS(F154=$AC$15,"3",F154=$AC$16,"2",F154=$AC$17,"1",F154=$AC$18,"1"))*E154,"")</f>
        <v/>
      </c>
      <c r="H154" s="166"/>
      <c r="I154" s="198"/>
      <c r="J154" s="183" t="str">
        <f>IFERROR(H154/VLOOKUP(I154,'$ Conversion'!$A$9:$B$40,2,0),"")</f>
        <v/>
      </c>
      <c r="K154" s="200"/>
      <c r="L154" s="819" t="str">
        <f>IFERROR(VLOOKUP(B154,Buildings!$B$9:$H$41,3,0),"")</f>
        <v/>
      </c>
      <c r="M154" s="449" t="str">
        <f>IFERROR(VLOOKUP(B154,Buildings!$B$9:$H$41,7,0),"")</f>
        <v/>
      </c>
      <c r="N154" s="1556" t="str">
        <f>IFERROR(VLOOKUP($C154&amp;"|"&amp;$D154,'Carbon factors'!$D$7:$E$361,2,0),"")</f>
        <v/>
      </c>
      <c r="O154" s="501" t="str">
        <f t="shared" si="8"/>
        <v/>
      </c>
      <c r="P154" s="819" t="str" cm="1">
        <f t="array" ref="P154">IFERROR(_xlfn.IFS(L154="Y","Scope 1",L154="N","Scope 3",L154="Unknown","Manually Select Scope -&gt;"),"")</f>
        <v/>
      </c>
      <c r="Q154" s="1229"/>
      <c r="R154" s="674" t="str">
        <f t="shared" si="9"/>
        <v/>
      </c>
      <c r="U154" s="1297" t="str">
        <f>IFERROR(($E154*(VLOOKUP($C154&amp;"|"&amp;$D154,'Carbon factors'!$D$7:$H$361,3,0))),"")</f>
        <v/>
      </c>
      <c r="V154" s="183" t="str">
        <f>IFERROR(($E154*(VLOOKUP($C154&amp;"|"&amp;$D154,'Carbon factors'!$D$7:$H$361,4,0))),"")</f>
        <v/>
      </c>
      <c r="W154" s="1296" t="str">
        <f>IFERROR(($E154*(VLOOKUP($C154&amp;"|"&amp;$D154,'Carbon factors'!$D$7:$H$361,5,0))),"")</f>
        <v/>
      </c>
    </row>
    <row r="155" spans="1:23" x14ac:dyDescent="0.35">
      <c r="A155" s="1812"/>
      <c r="B155" s="824"/>
      <c r="C155" s="850"/>
      <c r="D155" s="574"/>
      <c r="E155" s="574"/>
      <c r="F155" s="186"/>
      <c r="G155" s="664" t="str" cm="1">
        <f t="array" ref="G155">IFERROR((_xlfn.IFS(F155=$AC$15,"3",F155=$AC$16,"2",F155=$AC$17,"1",F155=$AC$18,"1"))*E155,"")</f>
        <v/>
      </c>
      <c r="H155" s="166"/>
      <c r="I155" s="198"/>
      <c r="J155" s="183" t="str">
        <f>IFERROR(H155/VLOOKUP(I155,'$ Conversion'!$A$9:$B$40,2,0),"")</f>
        <v/>
      </c>
      <c r="K155" s="200"/>
      <c r="L155" s="819" t="str">
        <f>IFERROR(VLOOKUP(B155,Buildings!$B$9:$H$41,3,0),"")</f>
        <v/>
      </c>
      <c r="M155" s="449" t="str">
        <f>IFERROR(VLOOKUP(B155,Buildings!$B$9:$H$41,7,0),"")</f>
        <v/>
      </c>
      <c r="N155" s="1556" t="str">
        <f>IFERROR(VLOOKUP($C155&amp;"|"&amp;$D155,'Carbon factors'!$D$7:$E$361,2,0),"")</f>
        <v/>
      </c>
      <c r="O155" s="501" t="str">
        <f t="shared" si="8"/>
        <v/>
      </c>
      <c r="P155" s="819" t="str" cm="1">
        <f t="array" ref="P155">IFERROR(_xlfn.IFS(L155="Y","Scope 1",L155="N","Scope 3",L155="Unknown","Manually Select Scope -&gt;"),"")</f>
        <v/>
      </c>
      <c r="Q155" s="1229"/>
      <c r="R155" s="674" t="str">
        <f t="shared" si="9"/>
        <v/>
      </c>
      <c r="U155" s="1297" t="str">
        <f>IFERROR(($E155*(VLOOKUP($C155&amp;"|"&amp;$D155,'Carbon factors'!$D$7:$H$361,3,0))),"")</f>
        <v/>
      </c>
      <c r="V155" s="183" t="str">
        <f>IFERROR(($E155*(VLOOKUP($C155&amp;"|"&amp;$D155,'Carbon factors'!$D$7:$H$361,4,0))),"")</f>
        <v/>
      </c>
      <c r="W155" s="1296" t="str">
        <f>IFERROR(($E155*(VLOOKUP($C155&amp;"|"&amp;$D155,'Carbon factors'!$D$7:$H$361,5,0))),"")</f>
        <v/>
      </c>
    </row>
    <row r="156" spans="1:23" x14ac:dyDescent="0.35">
      <c r="A156" s="1812"/>
      <c r="B156" s="824"/>
      <c r="C156" s="850"/>
      <c r="D156" s="574"/>
      <c r="E156" s="574"/>
      <c r="F156" s="186"/>
      <c r="G156" s="664" t="str" cm="1">
        <f t="array" ref="G156">IFERROR((_xlfn.IFS(F156=$AC$15,"3",F156=$AC$16,"2",F156=$AC$17,"1",F156=$AC$18,"1"))*E156,"")</f>
        <v/>
      </c>
      <c r="H156" s="166"/>
      <c r="I156" s="198"/>
      <c r="J156" s="183" t="str">
        <f>IFERROR(H156/VLOOKUP(I156,'$ Conversion'!$A$9:$B$40,2,0),"")</f>
        <v/>
      </c>
      <c r="K156" s="200"/>
      <c r="L156" s="819" t="str">
        <f>IFERROR(VLOOKUP(B156,Buildings!$B$9:$H$41,3,0),"")</f>
        <v/>
      </c>
      <c r="M156" s="449" t="str">
        <f>IFERROR(VLOOKUP(B156,Buildings!$B$9:$H$41,7,0),"")</f>
        <v/>
      </c>
      <c r="N156" s="1556" t="str">
        <f>IFERROR(VLOOKUP($C156&amp;"|"&amp;$D156,'Carbon factors'!$D$7:$E$361,2,0),"")</f>
        <v/>
      </c>
      <c r="O156" s="501" t="str">
        <f t="shared" si="8"/>
        <v/>
      </c>
      <c r="P156" s="819" t="str" cm="1">
        <f t="array" ref="P156">IFERROR(_xlfn.IFS(L156="Y","Scope 1",L156="N","Scope 3",L156="Unknown","Manually Select Scope -&gt;"),"")</f>
        <v/>
      </c>
      <c r="Q156" s="1229"/>
      <c r="R156" s="674" t="str">
        <f t="shared" si="9"/>
        <v/>
      </c>
      <c r="U156" s="1297" t="str">
        <f>IFERROR(($E156*(VLOOKUP($C156&amp;"|"&amp;$D156,'Carbon factors'!$D$7:$H$361,3,0))),"")</f>
        <v/>
      </c>
      <c r="V156" s="183" t="str">
        <f>IFERROR(($E156*(VLOOKUP($C156&amp;"|"&amp;$D156,'Carbon factors'!$D$7:$H$361,4,0))),"")</f>
        <v/>
      </c>
      <c r="W156" s="1296" t="str">
        <f>IFERROR(($E156*(VLOOKUP($C156&amp;"|"&amp;$D156,'Carbon factors'!$D$7:$H$361,5,0))),"")</f>
        <v/>
      </c>
    </row>
    <row r="157" spans="1:23" x14ac:dyDescent="0.35">
      <c r="A157" s="1812"/>
      <c r="B157" s="824"/>
      <c r="C157" s="850"/>
      <c r="D157" s="574"/>
      <c r="E157" s="574"/>
      <c r="F157" s="186"/>
      <c r="G157" s="664" t="str" cm="1">
        <f t="array" ref="G157">IFERROR((_xlfn.IFS(F157=$AC$15,"3",F157=$AC$16,"2",F157=$AC$17,"1",F157=$AC$18,"1"))*E157,"")</f>
        <v/>
      </c>
      <c r="H157" s="166"/>
      <c r="I157" s="198"/>
      <c r="J157" s="183" t="str">
        <f>IFERROR(H157/VLOOKUP(I157,'$ Conversion'!$A$9:$B$40,2,0),"")</f>
        <v/>
      </c>
      <c r="K157" s="200"/>
      <c r="L157" s="819" t="str">
        <f>IFERROR(VLOOKUP(B157,Buildings!$B$9:$H$41,3,0),"")</f>
        <v/>
      </c>
      <c r="M157" s="449" t="str">
        <f>IFERROR(VLOOKUP(B157,Buildings!$B$9:$H$41,7,0),"")</f>
        <v/>
      </c>
      <c r="N157" s="1556" t="str">
        <f>IFERROR(VLOOKUP($C157&amp;"|"&amp;$D157,'Carbon factors'!$D$7:$E$361,2,0),"")</f>
        <v/>
      </c>
      <c r="O157" s="501" t="str">
        <f t="shared" si="8"/>
        <v/>
      </c>
      <c r="P157" s="819" t="str" cm="1">
        <f t="array" ref="P157">IFERROR(_xlfn.IFS(L157="Y","Scope 1",L157="N","Scope 3",L157="Unknown","Manually Select Scope -&gt;"),"")</f>
        <v/>
      </c>
      <c r="Q157" s="1229"/>
      <c r="R157" s="674" t="str">
        <f t="shared" si="9"/>
        <v/>
      </c>
      <c r="U157" s="1297" t="str">
        <f>IFERROR(($E157*(VLOOKUP($C157&amp;"|"&amp;$D157,'Carbon factors'!$D$7:$H$361,3,0))),"")</f>
        <v/>
      </c>
      <c r="V157" s="183" t="str">
        <f>IFERROR(($E157*(VLOOKUP($C157&amp;"|"&amp;$D157,'Carbon factors'!$D$7:$H$361,4,0))),"")</f>
        <v/>
      </c>
      <c r="W157" s="1296" t="str">
        <f>IFERROR(($E157*(VLOOKUP($C157&amp;"|"&amp;$D157,'Carbon factors'!$D$7:$H$361,5,0))),"")</f>
        <v/>
      </c>
    </row>
    <row r="158" spans="1:23" x14ac:dyDescent="0.35">
      <c r="A158" s="1812"/>
      <c r="B158" s="824"/>
      <c r="C158" s="850"/>
      <c r="D158" s="574"/>
      <c r="E158" s="574"/>
      <c r="F158" s="186"/>
      <c r="G158" s="664" t="str" cm="1">
        <f t="array" ref="G158">IFERROR((_xlfn.IFS(F158=$AC$15,"3",F158=$AC$16,"2",F158=$AC$17,"1",F158=$AC$18,"1"))*E158,"")</f>
        <v/>
      </c>
      <c r="H158" s="166"/>
      <c r="I158" s="198"/>
      <c r="J158" s="183" t="str">
        <f>IFERROR(H158/VLOOKUP(I158,'$ Conversion'!$A$9:$B$40,2,0),"")</f>
        <v/>
      </c>
      <c r="K158" s="200"/>
      <c r="L158" s="819" t="str">
        <f>IFERROR(VLOOKUP(B158,Buildings!$B$9:$H$41,3,0),"")</f>
        <v/>
      </c>
      <c r="M158" s="449" t="str">
        <f>IFERROR(VLOOKUP(B158,Buildings!$B$9:$H$41,7,0),"")</f>
        <v/>
      </c>
      <c r="N158" s="1556" t="str">
        <f>IFERROR(VLOOKUP($C158&amp;"|"&amp;$D158,'Carbon factors'!$D$7:$E$361,2,0),"")</f>
        <v/>
      </c>
      <c r="O158" s="501" t="str">
        <f t="shared" si="8"/>
        <v/>
      </c>
      <c r="P158" s="819" t="str" cm="1">
        <f t="array" ref="P158">IFERROR(_xlfn.IFS(L158="Y","Scope 1",L158="N","Scope 3",L158="Unknown","Manually Select Scope -&gt;"),"")</f>
        <v/>
      </c>
      <c r="Q158" s="1229"/>
      <c r="R158" s="674" t="str">
        <f t="shared" si="9"/>
        <v/>
      </c>
      <c r="U158" s="1297" t="str">
        <f>IFERROR(($E158*(VLOOKUP($C158&amp;"|"&amp;$D158,'Carbon factors'!$D$7:$H$361,3,0))),"")</f>
        <v/>
      </c>
      <c r="V158" s="183" t="str">
        <f>IFERROR(($E158*(VLOOKUP($C158&amp;"|"&amp;$D158,'Carbon factors'!$D$7:$H$361,4,0))),"")</f>
        <v/>
      </c>
      <c r="W158" s="1296" t="str">
        <f>IFERROR(($E158*(VLOOKUP($C158&amp;"|"&amp;$D158,'Carbon factors'!$D$7:$H$361,5,0))),"")</f>
        <v/>
      </c>
    </row>
    <row r="159" spans="1:23" x14ac:dyDescent="0.35">
      <c r="A159" s="1812"/>
      <c r="B159" s="824"/>
      <c r="C159" s="850"/>
      <c r="D159" s="574"/>
      <c r="E159" s="574"/>
      <c r="F159" s="186"/>
      <c r="G159" s="664" t="str" cm="1">
        <f t="array" ref="G159">IFERROR((_xlfn.IFS(F159=$AC$15,"3",F159=$AC$16,"2",F159=$AC$17,"1",F159=$AC$18,"1"))*E159,"")</f>
        <v/>
      </c>
      <c r="H159" s="166"/>
      <c r="I159" s="198"/>
      <c r="J159" s="183" t="str">
        <f>IFERROR(H159/VLOOKUP(I159,'$ Conversion'!$A$9:$B$40,2,0),"")</f>
        <v/>
      </c>
      <c r="K159" s="200"/>
      <c r="L159" s="819" t="str">
        <f>IFERROR(VLOOKUP(B159,Buildings!$B$9:$H$41,3,0),"")</f>
        <v/>
      </c>
      <c r="M159" s="449" t="str">
        <f>IFERROR(VLOOKUP(B159,Buildings!$B$9:$H$41,7,0),"")</f>
        <v/>
      </c>
      <c r="N159" s="1556" t="str">
        <f>IFERROR(VLOOKUP($C159&amp;"|"&amp;$D159,'Carbon factors'!$D$7:$E$361,2,0),"")</f>
        <v/>
      </c>
      <c r="O159" s="501" t="str">
        <f t="shared" si="8"/>
        <v/>
      </c>
      <c r="P159" s="819" t="str" cm="1">
        <f t="array" ref="P159">IFERROR(_xlfn.IFS(L159="Y","Scope 1",L159="N","Scope 3",L159="Unknown","Manually Select Scope -&gt;"),"")</f>
        <v/>
      </c>
      <c r="Q159" s="1229"/>
      <c r="R159" s="674" t="str">
        <f t="shared" si="9"/>
        <v/>
      </c>
      <c r="U159" s="1297" t="str">
        <f>IFERROR(($E159*(VLOOKUP($C159&amp;"|"&amp;$D159,'Carbon factors'!$D$7:$H$361,3,0))),"")</f>
        <v/>
      </c>
      <c r="V159" s="183" t="str">
        <f>IFERROR(($E159*(VLOOKUP($C159&amp;"|"&amp;$D159,'Carbon factors'!$D$7:$H$361,4,0))),"")</f>
        <v/>
      </c>
      <c r="W159" s="1296" t="str">
        <f>IFERROR(($E159*(VLOOKUP($C159&amp;"|"&amp;$D159,'Carbon factors'!$D$7:$H$361,5,0))),"")</f>
        <v/>
      </c>
    </row>
    <row r="160" spans="1:23" x14ac:dyDescent="0.35">
      <c r="A160" s="1812"/>
      <c r="B160" s="824"/>
      <c r="C160" s="850"/>
      <c r="D160" s="574"/>
      <c r="E160" s="574"/>
      <c r="F160" s="186"/>
      <c r="G160" s="664" t="str" cm="1">
        <f t="array" ref="G160">IFERROR((_xlfn.IFS(F160=$AC$15,"3",F160=$AC$16,"2",F160=$AC$17,"1",F160=$AC$18,"1"))*E160,"")</f>
        <v/>
      </c>
      <c r="H160" s="166"/>
      <c r="I160" s="198"/>
      <c r="J160" s="183" t="str">
        <f>IFERROR(H160/VLOOKUP(I160,'$ Conversion'!$A$9:$B$40,2,0),"")</f>
        <v/>
      </c>
      <c r="K160" s="200"/>
      <c r="L160" s="819" t="str">
        <f>IFERROR(VLOOKUP(B160,Buildings!$B$9:$H$41,3,0),"")</f>
        <v/>
      </c>
      <c r="M160" s="449" t="str">
        <f>IFERROR(VLOOKUP(B160,Buildings!$B$9:$H$41,7,0),"")</f>
        <v/>
      </c>
      <c r="N160" s="1556" t="str">
        <f>IFERROR(VLOOKUP($C160&amp;"|"&amp;$D160,'Carbon factors'!$D$7:$E$361,2,0),"")</f>
        <v/>
      </c>
      <c r="O160" s="501" t="str">
        <f t="shared" si="8"/>
        <v/>
      </c>
      <c r="P160" s="819" t="str" cm="1">
        <f t="array" ref="P160">IFERROR(_xlfn.IFS(L160="Y","Scope 1",L160="N","Scope 3",L160="Unknown","Manually Select Scope -&gt;"),"")</f>
        <v/>
      </c>
      <c r="Q160" s="1229"/>
      <c r="R160" s="674" t="str">
        <f t="shared" si="9"/>
        <v/>
      </c>
      <c r="U160" s="1297" t="str">
        <f>IFERROR(($E160*(VLOOKUP($C160&amp;"|"&amp;$D160,'Carbon factors'!$D$7:$H$361,3,0))),"")</f>
        <v/>
      </c>
      <c r="V160" s="183" t="str">
        <f>IFERROR(($E160*(VLOOKUP($C160&amp;"|"&amp;$D160,'Carbon factors'!$D$7:$H$361,4,0))),"")</f>
        <v/>
      </c>
      <c r="W160" s="1296" t="str">
        <f>IFERROR(($E160*(VLOOKUP($C160&amp;"|"&amp;$D160,'Carbon factors'!$D$7:$H$361,5,0))),"")</f>
        <v/>
      </c>
    </row>
    <row r="161" spans="1:27" x14ac:dyDescent="0.35">
      <c r="A161" s="1812"/>
      <c r="B161" s="824"/>
      <c r="C161" s="850"/>
      <c r="D161" s="574"/>
      <c r="E161" s="574"/>
      <c r="F161" s="186"/>
      <c r="G161" s="664" t="str" cm="1">
        <f t="array" ref="G161">IFERROR((_xlfn.IFS(F161=$AC$15,"3",F161=$AC$16,"2",F161=$AC$17,"1",F161=$AC$18,"1"))*E161,"")</f>
        <v/>
      </c>
      <c r="H161" s="166"/>
      <c r="I161" s="198"/>
      <c r="J161" s="183" t="str">
        <f>IFERROR(H161/VLOOKUP(I161,'$ Conversion'!$A$9:$B$40,2,0),"")</f>
        <v/>
      </c>
      <c r="K161" s="200"/>
      <c r="L161" s="819" t="str">
        <f>IFERROR(VLOOKUP(B161,Buildings!$B$9:$H$41,3,0),"")</f>
        <v/>
      </c>
      <c r="M161" s="449" t="str">
        <f>IFERROR(VLOOKUP(B161,Buildings!$B$9:$H$41,7,0),"")</f>
        <v/>
      </c>
      <c r="N161" s="1556" t="str">
        <f>IFERROR(VLOOKUP($C161&amp;"|"&amp;$D161,'Carbon factors'!$D$7:$E$361,2,0),"")</f>
        <v/>
      </c>
      <c r="O161" s="501" t="str">
        <f t="shared" si="8"/>
        <v/>
      </c>
      <c r="P161" s="819" t="str" cm="1">
        <f t="array" ref="P161">IFERROR(_xlfn.IFS(L161="Y","Scope 1",L161="N","Scope 3",L161="Unknown","Manually Select Scope -&gt;"),"")</f>
        <v/>
      </c>
      <c r="Q161" s="1229"/>
      <c r="R161" s="674" t="str">
        <f t="shared" si="9"/>
        <v/>
      </c>
      <c r="U161" s="1297" t="str">
        <f>IFERROR(($E161*(VLOOKUP($C161&amp;"|"&amp;$D161,'Carbon factors'!$D$7:$H$361,3,0))),"")</f>
        <v/>
      </c>
      <c r="V161" s="183" t="str">
        <f>IFERROR(($E161*(VLOOKUP($C161&amp;"|"&amp;$D161,'Carbon factors'!$D$7:$H$361,4,0))),"")</f>
        <v/>
      </c>
      <c r="W161" s="1296" t="str">
        <f>IFERROR(($E161*(VLOOKUP($C161&amp;"|"&amp;$D161,'Carbon factors'!$D$7:$H$361,5,0))),"")</f>
        <v/>
      </c>
    </row>
    <row r="162" spans="1:27" x14ac:dyDescent="0.35">
      <c r="A162" s="1812"/>
      <c r="B162" s="824"/>
      <c r="C162" s="850"/>
      <c r="D162" s="574"/>
      <c r="E162" s="574"/>
      <c r="F162" s="186"/>
      <c r="G162" s="664" t="str" cm="1">
        <f t="array" ref="G162">IFERROR((_xlfn.IFS(F162=$AC$15,"3",F162=$AC$16,"2",F162=$AC$17,"1",F162=$AC$18,"1"))*E162,"")</f>
        <v/>
      </c>
      <c r="H162" s="166"/>
      <c r="I162" s="198"/>
      <c r="J162" s="183" t="str">
        <f>IFERROR(H162/VLOOKUP(I162,'$ Conversion'!$A$9:$B$40,2,0),"")</f>
        <v/>
      </c>
      <c r="K162" s="200"/>
      <c r="L162" s="819" t="str">
        <f>IFERROR(VLOOKUP(B162,Buildings!$B$9:$H$41,3,0),"")</f>
        <v/>
      </c>
      <c r="M162" s="449" t="str">
        <f>IFERROR(VLOOKUP(B162,Buildings!$B$9:$H$41,7,0),"")</f>
        <v/>
      </c>
      <c r="N162" s="1556" t="str">
        <f>IFERROR(VLOOKUP($C162&amp;"|"&amp;$D162,'Carbon factors'!$D$7:$E$361,2,0),"")</f>
        <v/>
      </c>
      <c r="O162" s="501" t="str">
        <f t="shared" si="8"/>
        <v/>
      </c>
      <c r="P162" s="819" t="str" cm="1">
        <f t="array" ref="P162">IFERROR(_xlfn.IFS(L162="Y","Scope 1",L162="N","Scope 3",L162="Unknown","Manually Select Scope -&gt;"),"")</f>
        <v/>
      </c>
      <c r="Q162" s="1229"/>
      <c r="R162" s="674" t="str">
        <f t="shared" si="9"/>
        <v/>
      </c>
      <c r="U162" s="1297" t="str">
        <f>IFERROR(($E162*(VLOOKUP($C162&amp;"|"&amp;$D162,'Carbon factors'!$D$7:$H$361,3,0))),"")</f>
        <v/>
      </c>
      <c r="V162" s="183" t="str">
        <f>IFERROR(($E162*(VLOOKUP($C162&amp;"|"&amp;$D162,'Carbon factors'!$D$7:$H$361,4,0))),"")</f>
        <v/>
      </c>
      <c r="W162" s="1296" t="str">
        <f>IFERROR(($E162*(VLOOKUP($C162&amp;"|"&amp;$D162,'Carbon factors'!$D$7:$H$361,5,0))),"")</f>
        <v/>
      </c>
    </row>
    <row r="163" spans="1:27" x14ac:dyDescent="0.35">
      <c r="A163" s="1812"/>
      <c r="B163" s="824"/>
      <c r="C163" s="850"/>
      <c r="D163" s="574"/>
      <c r="E163" s="574"/>
      <c r="F163" s="186"/>
      <c r="G163" s="664" t="str" cm="1">
        <f t="array" ref="G163">IFERROR((_xlfn.IFS(F163=$AC$15,"3",F163=$AC$16,"2",F163=$AC$17,"1",F163=$AC$18,"1"))*E163,"")</f>
        <v/>
      </c>
      <c r="H163" s="166"/>
      <c r="I163" s="198"/>
      <c r="J163" s="183" t="str">
        <f>IFERROR(H163/VLOOKUP(I163,'$ Conversion'!$A$9:$B$40,2,0),"")</f>
        <v/>
      </c>
      <c r="K163" s="200"/>
      <c r="L163" s="819" t="str">
        <f>IFERROR(VLOOKUP(B163,Buildings!$B$9:$H$41,3,0),"")</f>
        <v/>
      </c>
      <c r="M163" s="449" t="str">
        <f>IFERROR(VLOOKUP(B163,Buildings!$B$9:$H$41,7,0),"")</f>
        <v/>
      </c>
      <c r="N163" s="1556" t="str">
        <f>IFERROR(VLOOKUP($C163&amp;"|"&amp;$D163,'Carbon factors'!$D$7:$E$361,2,0),"")</f>
        <v/>
      </c>
      <c r="O163" s="501" t="str">
        <f t="shared" si="8"/>
        <v/>
      </c>
      <c r="P163" s="819" t="str" cm="1">
        <f t="array" ref="P163">IFERROR(_xlfn.IFS(L163="Y","Scope 1",L163="N","Scope 3",L163="Unknown","Manually Select Scope -&gt;"),"")</f>
        <v/>
      </c>
      <c r="Q163" s="1229"/>
      <c r="R163" s="674" t="str">
        <f t="shared" si="9"/>
        <v/>
      </c>
      <c r="U163" s="1297" t="str">
        <f>IFERROR(($E163*(VLOOKUP($C163&amp;"|"&amp;$D163,'Carbon factors'!$D$7:$H$361,3,0))),"")</f>
        <v/>
      </c>
      <c r="V163" s="183" t="str">
        <f>IFERROR(($E163*(VLOOKUP($C163&amp;"|"&amp;$D163,'Carbon factors'!$D$7:$H$361,4,0))),"")</f>
        <v/>
      </c>
      <c r="W163" s="1296" t="str">
        <f>IFERROR(($E163*(VLOOKUP($C163&amp;"|"&amp;$D163,'Carbon factors'!$D$7:$H$361,5,0))),"")</f>
        <v/>
      </c>
    </row>
    <row r="164" spans="1:27" x14ac:dyDescent="0.35">
      <c r="A164" s="1812"/>
      <c r="B164" s="824"/>
      <c r="C164" s="850"/>
      <c r="D164" s="574"/>
      <c r="E164" s="574"/>
      <c r="F164" s="186"/>
      <c r="G164" s="664" t="str" cm="1">
        <f t="array" ref="G164">IFERROR((_xlfn.IFS(F164=$AC$15,"3",F164=$AC$16,"2",F164=$AC$17,"1",F164=$AC$18,"1"))*E164,"")</f>
        <v/>
      </c>
      <c r="H164" s="166"/>
      <c r="I164" s="198"/>
      <c r="J164" s="183" t="str">
        <f>IFERROR(H164/VLOOKUP(I164,'$ Conversion'!$A$9:$B$40,2,0),"")</f>
        <v/>
      </c>
      <c r="K164" s="200"/>
      <c r="L164" s="819" t="str">
        <f>IFERROR(VLOOKUP(B164,Buildings!$B$9:$H$41,3,0),"")</f>
        <v/>
      </c>
      <c r="M164" s="449" t="str">
        <f>IFERROR(VLOOKUP(B164,Buildings!$B$9:$H$41,7,0),"")</f>
        <v/>
      </c>
      <c r="N164" s="1556" t="str">
        <f>IFERROR(VLOOKUP($C164&amp;"|"&amp;$D164,'Carbon factors'!$D$7:$E$361,2,0),"")</f>
        <v/>
      </c>
      <c r="O164" s="501" t="str">
        <f t="shared" si="8"/>
        <v/>
      </c>
      <c r="P164" s="819" t="str" cm="1">
        <f t="array" ref="P164">IFERROR(_xlfn.IFS(L164="Y","Scope 1",L164="N","Scope 3",L164="Unknown","Manually Select Scope -&gt;"),"")</f>
        <v/>
      </c>
      <c r="Q164" s="1229"/>
      <c r="R164" s="674" t="str">
        <f t="shared" si="9"/>
        <v/>
      </c>
      <c r="U164" s="1297" t="str">
        <f>IFERROR(($E164*(VLOOKUP($C164&amp;"|"&amp;$D164,'Carbon factors'!$D$7:$H$361,3,0))),"")</f>
        <v/>
      </c>
      <c r="V164" s="183" t="str">
        <f>IFERROR(($E164*(VLOOKUP($C164&amp;"|"&amp;$D164,'Carbon factors'!$D$7:$H$361,4,0))),"")</f>
        <v/>
      </c>
      <c r="W164" s="1296" t="str">
        <f>IFERROR(($E164*(VLOOKUP($C164&amp;"|"&amp;$D164,'Carbon factors'!$D$7:$H$361,5,0))),"")</f>
        <v/>
      </c>
    </row>
    <row r="165" spans="1:27" x14ac:dyDescent="0.35">
      <c r="A165" s="1812"/>
      <c r="B165" s="824"/>
      <c r="C165" s="850"/>
      <c r="D165" s="574"/>
      <c r="E165" s="574"/>
      <c r="F165" s="186"/>
      <c r="G165" s="664" t="str" cm="1">
        <f t="array" ref="G165">IFERROR((_xlfn.IFS(F165=$AC$15,"3",F165=$AC$16,"2",F165=$AC$17,"1",F165=$AC$18,"1"))*E165,"")</f>
        <v/>
      </c>
      <c r="H165" s="166"/>
      <c r="I165" s="198"/>
      <c r="J165" s="183" t="str">
        <f>IFERROR(H165/VLOOKUP(I165,'$ Conversion'!$A$9:$B$40,2,0),"")</f>
        <v/>
      </c>
      <c r="K165" s="200"/>
      <c r="L165" s="819" t="str">
        <f>IFERROR(VLOOKUP(B165,Buildings!$B$9:$H$41,3,0),"")</f>
        <v/>
      </c>
      <c r="M165" s="449" t="str">
        <f>IFERROR(VLOOKUP(B165,Buildings!$B$9:$H$41,7,0),"")</f>
        <v/>
      </c>
      <c r="N165" s="1556" t="str">
        <f>IFERROR(VLOOKUP($C165&amp;"|"&amp;$D165,'Carbon factors'!$D$7:$E$361,2,0),"")</f>
        <v/>
      </c>
      <c r="O165" s="501" t="str">
        <f t="shared" si="8"/>
        <v/>
      </c>
      <c r="P165" s="819" t="str" cm="1">
        <f t="array" ref="P165">IFERROR(_xlfn.IFS(L165="Y","Scope 1",L165="N","Scope 3",L165="Unknown","Manually Select Scope -&gt;"),"")</f>
        <v/>
      </c>
      <c r="Q165" s="1229"/>
      <c r="R165" s="674" t="str">
        <f t="shared" si="9"/>
        <v/>
      </c>
      <c r="U165" s="1297" t="str">
        <f>IFERROR(($E165*(VLOOKUP($C165&amp;"|"&amp;$D165,'Carbon factors'!$D$7:$H$361,3,0))),"")</f>
        <v/>
      </c>
      <c r="V165" s="183" t="str">
        <f>IFERROR(($E165*(VLOOKUP($C165&amp;"|"&amp;$D165,'Carbon factors'!$D$7:$H$361,4,0))),"")</f>
        <v/>
      </c>
      <c r="W165" s="1296" t="str">
        <f>IFERROR(($E165*(VLOOKUP($C165&amp;"|"&amp;$D165,'Carbon factors'!$D$7:$H$361,5,0))),"")</f>
        <v/>
      </c>
    </row>
    <row r="166" spans="1:27" x14ac:dyDescent="0.35">
      <c r="A166" s="1812"/>
      <c r="B166" s="824"/>
      <c r="C166" s="850"/>
      <c r="D166" s="574"/>
      <c r="E166" s="574"/>
      <c r="F166" s="186"/>
      <c r="G166" s="664" t="str" cm="1">
        <f t="array" ref="G166">IFERROR((_xlfn.IFS(F166=$AC$15,"3",F166=$AC$16,"2",F166=$AC$17,"1",F166=$AC$18,"1"))*E166,"")</f>
        <v/>
      </c>
      <c r="H166" s="166"/>
      <c r="I166" s="198"/>
      <c r="J166" s="183" t="str">
        <f>IFERROR(H166/VLOOKUP(I166,'$ Conversion'!$A$9:$B$40,2,0),"")</f>
        <v/>
      </c>
      <c r="K166" s="200"/>
      <c r="L166" s="819" t="str">
        <f>IFERROR(VLOOKUP(B166,Buildings!$B$9:$H$41,3,0),"")</f>
        <v/>
      </c>
      <c r="M166" s="449" t="str">
        <f>IFERROR(VLOOKUP(B166,Buildings!$B$9:$H$41,7,0),"")</f>
        <v/>
      </c>
      <c r="N166" s="1556" t="str">
        <f>IFERROR(VLOOKUP($C166&amp;"|"&amp;$D166,'Carbon factors'!$D$7:$E$361,2,0),"")</f>
        <v/>
      </c>
      <c r="O166" s="501" t="str">
        <f t="shared" si="8"/>
        <v/>
      </c>
      <c r="P166" s="819" t="str" cm="1">
        <f t="array" ref="P166">IFERROR(_xlfn.IFS(L166="Y","Scope 1",L166="N","Scope 3",L166="Unknown","Manually Select Scope -&gt;"),"")</f>
        <v/>
      </c>
      <c r="Q166" s="1229"/>
      <c r="R166" s="674" t="str">
        <f t="shared" si="9"/>
        <v/>
      </c>
      <c r="U166" s="1297" t="str">
        <f>IFERROR(($E166*(VLOOKUP($C166&amp;"|"&amp;$D166,'Carbon factors'!$D$7:$H$361,3,0))),"")</f>
        <v/>
      </c>
      <c r="V166" s="183" t="str">
        <f>IFERROR(($E166*(VLOOKUP($C166&amp;"|"&amp;$D166,'Carbon factors'!$D$7:$H$361,4,0))),"")</f>
        <v/>
      </c>
      <c r="W166" s="1296" t="str">
        <f>IFERROR(($E166*(VLOOKUP($C166&amp;"|"&amp;$D166,'Carbon factors'!$D$7:$H$361,5,0))),"")</f>
        <v/>
      </c>
    </row>
    <row r="167" spans="1:27" x14ac:dyDescent="0.35">
      <c r="A167" s="1812"/>
      <c r="B167" s="824"/>
      <c r="C167" s="850"/>
      <c r="D167" s="574"/>
      <c r="E167" s="574"/>
      <c r="F167" s="186"/>
      <c r="G167" s="664" t="str" cm="1">
        <f t="array" ref="G167">IFERROR((_xlfn.IFS(F167=$AC$15,"3",F167=$AC$16,"2",F167=$AC$17,"1",F167=$AC$18,"1"))*E167,"")</f>
        <v/>
      </c>
      <c r="H167" s="166"/>
      <c r="I167" s="198"/>
      <c r="J167" s="183" t="str">
        <f>IFERROR(H167/VLOOKUP(I167,'$ Conversion'!$A$9:$B$40,2,0),"")</f>
        <v/>
      </c>
      <c r="K167" s="200"/>
      <c r="L167" s="819" t="str">
        <f>IFERROR(VLOOKUP(B167,Buildings!$B$9:$H$41,3,0),"")</f>
        <v/>
      </c>
      <c r="M167" s="449" t="str">
        <f>IFERROR(VLOOKUP(B167,Buildings!$B$9:$H$41,7,0),"")</f>
        <v/>
      </c>
      <c r="N167" s="1556" t="str">
        <f>IFERROR(VLOOKUP($C167&amp;"|"&amp;$D167,'Carbon factors'!$D$7:$E$361,2,0),"")</f>
        <v/>
      </c>
      <c r="O167" s="501" t="str">
        <f t="shared" si="8"/>
        <v/>
      </c>
      <c r="P167" s="819" t="str" cm="1">
        <f t="array" ref="P167">IFERROR(_xlfn.IFS(L167="Y","Scope 1",L167="N","Scope 3",L167="Unknown","Manually Select Scope -&gt;"),"")</f>
        <v/>
      </c>
      <c r="Q167" s="1229"/>
      <c r="R167" s="674" t="str">
        <f t="shared" si="9"/>
        <v/>
      </c>
      <c r="U167" s="1297" t="str">
        <f>IFERROR(($E167*(VLOOKUP($C167&amp;"|"&amp;$D167,'Carbon factors'!$D$7:$H$361,3,0))),"")</f>
        <v/>
      </c>
      <c r="V167" s="183" t="str">
        <f>IFERROR(($E167*(VLOOKUP($C167&amp;"|"&amp;$D167,'Carbon factors'!$D$7:$H$361,4,0))),"")</f>
        <v/>
      </c>
      <c r="W167" s="1296" t="str">
        <f>IFERROR(($E167*(VLOOKUP($C167&amp;"|"&amp;$D167,'Carbon factors'!$D$7:$H$361,5,0))),"")</f>
        <v/>
      </c>
    </row>
    <row r="168" spans="1:27" x14ac:dyDescent="0.35">
      <c r="A168" s="1812"/>
      <c r="B168" s="824"/>
      <c r="C168" s="850"/>
      <c r="D168" s="574"/>
      <c r="E168" s="574"/>
      <c r="F168" s="186"/>
      <c r="G168" s="664" t="str" cm="1">
        <f t="array" ref="G168">IFERROR((_xlfn.IFS(F168=$AC$15,"3",F168=$AC$16,"2",F168=$AC$17,"1",F168=$AC$18,"1"))*E168,"")</f>
        <v/>
      </c>
      <c r="H168" s="166"/>
      <c r="I168" s="198"/>
      <c r="J168" s="183" t="str">
        <f>IFERROR(H168/VLOOKUP(I168,'$ Conversion'!$A$9:$B$40,2,0),"")</f>
        <v/>
      </c>
      <c r="K168" s="200"/>
      <c r="L168" s="819" t="str">
        <f>IFERROR(VLOOKUP(B168,Buildings!$B$9:$H$41,3,0),"")</f>
        <v/>
      </c>
      <c r="M168" s="449" t="str">
        <f>IFERROR(VLOOKUP(B168,Buildings!$B$9:$H$41,7,0),"")</f>
        <v/>
      </c>
      <c r="N168" s="1556" t="str">
        <f>IFERROR(VLOOKUP($C168&amp;"|"&amp;$D168,'Carbon factors'!$D$7:$E$361,2,0),"")</f>
        <v/>
      </c>
      <c r="O168" s="501" t="str">
        <f t="shared" si="8"/>
        <v/>
      </c>
      <c r="P168" s="819" t="str" cm="1">
        <f t="array" ref="P168">IFERROR(_xlfn.IFS(L168="Y","Scope 1",L168="N","Scope 3",L168="Unknown","Manually Select Scope -&gt;"),"")</f>
        <v/>
      </c>
      <c r="Q168" s="1229"/>
      <c r="R168" s="674" t="str">
        <f t="shared" si="9"/>
        <v/>
      </c>
      <c r="U168" s="1297" t="str">
        <f>IFERROR(($E168*(VLOOKUP($C168&amp;"|"&amp;$D168,'Carbon factors'!$D$7:$H$361,3,0))),"")</f>
        <v/>
      </c>
      <c r="V168" s="183" t="str">
        <f>IFERROR(($E168*(VLOOKUP($C168&amp;"|"&amp;$D168,'Carbon factors'!$D$7:$H$361,4,0))),"")</f>
        <v/>
      </c>
      <c r="W168" s="1296" t="str">
        <f>IFERROR(($E168*(VLOOKUP($C168&amp;"|"&amp;$D168,'Carbon factors'!$D$7:$H$361,5,0))),"")</f>
        <v/>
      </c>
    </row>
    <row r="169" spans="1:27" x14ac:dyDescent="0.35">
      <c r="A169" s="1812"/>
      <c r="B169" s="824"/>
      <c r="C169" s="850"/>
      <c r="D169" s="574"/>
      <c r="E169" s="574"/>
      <c r="F169" s="186"/>
      <c r="G169" s="664" t="str" cm="1">
        <f t="array" ref="G169">IFERROR((_xlfn.IFS(F169=$AC$15,"3",F169=$AC$16,"2",F169=$AC$17,"1",F169=$AC$18,"1"))*E169,"")</f>
        <v/>
      </c>
      <c r="H169" s="166"/>
      <c r="I169" s="198"/>
      <c r="J169" s="183" t="str">
        <f>IFERROR(H169/VLOOKUP(I169,'$ Conversion'!$A$9:$B$40,2,0),"")</f>
        <v/>
      </c>
      <c r="K169" s="200"/>
      <c r="L169" s="819" t="str">
        <f>IFERROR(VLOOKUP(B169,Buildings!$B$9:$H$41,3,0),"")</f>
        <v/>
      </c>
      <c r="M169" s="449" t="str">
        <f>IFERROR(VLOOKUP(B169,Buildings!$B$9:$H$41,7,0),"")</f>
        <v/>
      </c>
      <c r="N169" s="1556" t="str">
        <f>IFERROR(VLOOKUP($C169&amp;"|"&amp;$D169,'Carbon factors'!$D$7:$E$361,2,0),"")</f>
        <v/>
      </c>
      <c r="O169" s="501" t="str">
        <f t="shared" si="8"/>
        <v/>
      </c>
      <c r="P169" s="819" t="str" cm="1">
        <f t="array" ref="P169">IFERROR(_xlfn.IFS(L169="Y","Scope 1",L169="N","Scope 3",L169="Unknown","Manually Select Scope -&gt;"),"")</f>
        <v/>
      </c>
      <c r="Q169" s="1229"/>
      <c r="R169" s="674" t="str">
        <f t="shared" si="9"/>
        <v/>
      </c>
      <c r="U169" s="1297" t="str">
        <f>IFERROR(($E169*(VLOOKUP($C169&amp;"|"&amp;$D169,'Carbon factors'!$D$7:$H$361,3,0))),"")</f>
        <v/>
      </c>
      <c r="V169" s="183" t="str">
        <f>IFERROR(($E169*(VLOOKUP($C169&amp;"|"&amp;$D169,'Carbon factors'!$D$7:$H$361,4,0))),"")</f>
        <v/>
      </c>
      <c r="W169" s="1296" t="str">
        <f>IFERROR(($E169*(VLOOKUP($C169&amp;"|"&amp;$D169,'Carbon factors'!$D$7:$H$361,5,0))),"")</f>
        <v/>
      </c>
    </row>
    <row r="170" spans="1:27" x14ac:dyDescent="0.35">
      <c r="A170" s="1812"/>
      <c r="B170" s="824"/>
      <c r="C170" s="850"/>
      <c r="D170" s="574"/>
      <c r="E170" s="574"/>
      <c r="F170" s="186"/>
      <c r="G170" s="664" t="str" cm="1">
        <f t="array" ref="G170">IFERROR((_xlfn.IFS(F170=$AC$15,"3",F170=$AC$16,"2",F170=$AC$17,"1",F170=$AC$18,"1"))*E170,"")</f>
        <v/>
      </c>
      <c r="H170" s="166"/>
      <c r="I170" s="198"/>
      <c r="J170" s="183" t="str">
        <f>IFERROR(H170/VLOOKUP(I170,'$ Conversion'!$A$9:$B$40,2,0),"")</f>
        <v/>
      </c>
      <c r="K170" s="200"/>
      <c r="L170" s="819" t="str">
        <f>IFERROR(VLOOKUP(B170,Buildings!$B$9:$H$41,3,0),"")</f>
        <v/>
      </c>
      <c r="M170" s="449" t="str">
        <f>IFERROR(VLOOKUP(B170,Buildings!$B$9:$H$41,7,0),"")</f>
        <v/>
      </c>
      <c r="N170" s="1556" t="str">
        <f>IFERROR(VLOOKUP($C170&amp;"|"&amp;$D170,'Carbon factors'!$D$7:$E$361,2,0),"")</f>
        <v/>
      </c>
      <c r="O170" s="501" t="str">
        <f t="shared" si="8"/>
        <v/>
      </c>
      <c r="P170" s="819" t="str" cm="1">
        <f t="array" ref="P170">IFERROR(_xlfn.IFS(L170="Y","Scope 1",L170="N","Scope 3",L170="Unknown","Manually Select Scope -&gt;"),"")</f>
        <v/>
      </c>
      <c r="Q170" s="1229"/>
      <c r="R170" s="674" t="str">
        <f t="shared" si="9"/>
        <v/>
      </c>
      <c r="U170" s="1297" t="str">
        <f>IFERROR(($E170*(VLOOKUP($C170&amp;"|"&amp;$D170,'Carbon factors'!$D$7:$H$361,3,0))),"")</f>
        <v/>
      </c>
      <c r="V170" s="183" t="str">
        <f>IFERROR(($E170*(VLOOKUP($C170&amp;"|"&amp;$D170,'Carbon factors'!$D$7:$H$361,4,0))),"")</f>
        <v/>
      </c>
      <c r="W170" s="1296" t="str">
        <f>IFERROR(($E170*(VLOOKUP($C170&amp;"|"&amp;$D170,'Carbon factors'!$D$7:$H$361,5,0))),"")</f>
        <v/>
      </c>
    </row>
    <row r="171" spans="1:27" x14ac:dyDescent="0.35">
      <c r="A171" s="1812"/>
      <c r="B171" s="824"/>
      <c r="C171" s="850"/>
      <c r="D171" s="574"/>
      <c r="E171" s="574"/>
      <c r="F171" s="186"/>
      <c r="G171" s="664" t="str" cm="1">
        <f t="array" ref="G171">IFERROR((_xlfn.IFS(F171=$AC$15,"3",F171=$AC$16,"2",F171=$AC$17,"1",F171=$AC$18,"1"))*E171,"")</f>
        <v/>
      </c>
      <c r="H171" s="166"/>
      <c r="I171" s="198"/>
      <c r="J171" s="183" t="str">
        <f>IFERROR(H171/VLOOKUP(I171,'$ Conversion'!$A$9:$B$40,2,0),"")</f>
        <v/>
      </c>
      <c r="K171" s="200"/>
      <c r="L171" s="819" t="str">
        <f>IFERROR(VLOOKUP(B171,Buildings!$B$9:$H$41,3,0),"")</f>
        <v/>
      </c>
      <c r="M171" s="449" t="str">
        <f>IFERROR(VLOOKUP(B171,Buildings!$B$9:$H$41,7,0),"")</f>
        <v/>
      </c>
      <c r="N171" s="1556" t="str">
        <f>IFERROR(VLOOKUP($C171&amp;"|"&amp;$D171,'Carbon factors'!$D$7:$E$361,2,0),"")</f>
        <v/>
      </c>
      <c r="O171" s="501" t="str">
        <f t="shared" si="8"/>
        <v/>
      </c>
      <c r="P171" s="819" t="str" cm="1">
        <f t="array" ref="P171">IFERROR(_xlfn.IFS(L171="Y","Scope 1",L171="N","Scope 3",L171="Unknown","Manually Select Scope -&gt;"),"")</f>
        <v/>
      </c>
      <c r="Q171" s="1229"/>
      <c r="R171" s="674" t="str">
        <f t="shared" si="9"/>
        <v/>
      </c>
      <c r="U171" s="1297" t="str">
        <f>IFERROR(($E171*(VLOOKUP($C171&amp;"|"&amp;$D171,'Carbon factors'!$D$7:$H$361,3,0))),"")</f>
        <v/>
      </c>
      <c r="V171" s="183" t="str">
        <f>IFERROR(($E171*(VLOOKUP($C171&amp;"|"&amp;$D171,'Carbon factors'!$D$7:$H$361,4,0))),"")</f>
        <v/>
      </c>
      <c r="W171" s="1296" t="str">
        <f>IFERROR(($E171*(VLOOKUP($C171&amp;"|"&amp;$D171,'Carbon factors'!$D$7:$H$361,5,0))),"")</f>
        <v/>
      </c>
    </row>
    <row r="172" spans="1:27" x14ac:dyDescent="0.35">
      <c r="A172" s="1812"/>
      <c r="B172" s="824"/>
      <c r="C172" s="850"/>
      <c r="D172" s="574"/>
      <c r="E172" s="574"/>
      <c r="F172" s="186"/>
      <c r="G172" s="664" t="str" cm="1">
        <f t="array" ref="G172">IFERROR((_xlfn.IFS(F172=$AC$15,"3",F172=$AC$16,"2",F172=$AC$17,"1",F172=$AC$18,"1"))*E172,"")</f>
        <v/>
      </c>
      <c r="H172" s="166"/>
      <c r="I172" s="198"/>
      <c r="J172" s="183" t="str">
        <f>IFERROR(H172/VLOOKUP(I172,'$ Conversion'!$A$9:$B$40,2,0),"")</f>
        <v/>
      </c>
      <c r="K172" s="200"/>
      <c r="L172" s="819" t="str">
        <f>IFERROR(VLOOKUP(B172,Buildings!$B$9:$H$41,3,0),"")</f>
        <v/>
      </c>
      <c r="M172" s="449" t="str">
        <f>IFERROR(VLOOKUP(B172,Buildings!$B$9:$H$41,7,0),"")</f>
        <v/>
      </c>
      <c r="N172" s="1556" t="str">
        <f>IFERROR(VLOOKUP($C172&amp;"|"&amp;$D172,'Carbon factors'!$D$7:$E$361,2,0),"")</f>
        <v/>
      </c>
      <c r="O172" s="501" t="str">
        <f t="shared" si="8"/>
        <v/>
      </c>
      <c r="P172" s="819" t="str" cm="1">
        <f t="array" ref="P172">IFERROR(_xlfn.IFS(L172="Y","Scope 1",L172="N","Scope 3",L172="Unknown","Manually Select Scope -&gt;"),"")</f>
        <v/>
      </c>
      <c r="Q172" s="1229"/>
      <c r="R172" s="674" t="str">
        <f t="shared" si="9"/>
        <v/>
      </c>
      <c r="U172" s="1297" t="str">
        <f>IFERROR(($E172*(VLOOKUP($C172&amp;"|"&amp;$D172,'Carbon factors'!$D$7:$H$361,3,0))),"")</f>
        <v/>
      </c>
      <c r="V172" s="183" t="str">
        <f>IFERROR(($E172*(VLOOKUP($C172&amp;"|"&amp;$D172,'Carbon factors'!$D$7:$H$361,4,0))),"")</f>
        <v/>
      </c>
      <c r="W172" s="1296" t="str">
        <f>IFERROR(($E172*(VLOOKUP($C172&amp;"|"&amp;$D172,'Carbon factors'!$D$7:$H$361,5,0))),"")</f>
        <v/>
      </c>
    </row>
    <row r="173" spans="1:27" x14ac:dyDescent="0.35">
      <c r="A173" s="1812"/>
      <c r="B173" s="824"/>
      <c r="C173" s="850"/>
      <c r="D173" s="574"/>
      <c r="E173" s="574"/>
      <c r="F173" s="186"/>
      <c r="G173" s="664" t="str" cm="1">
        <f t="array" ref="G173">IFERROR((_xlfn.IFS(F173=$AC$15,"3",F173=$AC$16,"2",F173=$AC$17,"1",F173=$AC$18,"1"))*E173,"")</f>
        <v/>
      </c>
      <c r="H173" s="166"/>
      <c r="I173" s="198"/>
      <c r="J173" s="183" t="str">
        <f>IFERROR(H173/VLOOKUP(I173,'$ Conversion'!$A$9:$B$40,2,0),"")</f>
        <v/>
      </c>
      <c r="K173" s="200"/>
      <c r="L173" s="819" t="str">
        <f>IFERROR(VLOOKUP(B173,Buildings!$B$9:$H$41,3,0),"")</f>
        <v/>
      </c>
      <c r="M173" s="449" t="str">
        <f>IFERROR(VLOOKUP(B173,Buildings!$B$9:$H$41,7,0),"")</f>
        <v/>
      </c>
      <c r="N173" s="1556" t="str">
        <f>IFERROR(VLOOKUP($C173&amp;"|"&amp;$D173,'Carbon factors'!$D$7:$E$361,2,0),"")</f>
        <v/>
      </c>
      <c r="O173" s="501" t="str">
        <f t="shared" si="8"/>
        <v/>
      </c>
      <c r="P173" s="819" t="str" cm="1">
        <f t="array" ref="P173">IFERROR(_xlfn.IFS(L173="Y","Scope 1",L173="N","Scope 3",L173="Unknown","Manually Select Scope -&gt;"),"")</f>
        <v/>
      </c>
      <c r="Q173" s="1229"/>
      <c r="R173" s="674" t="str">
        <f t="shared" si="9"/>
        <v/>
      </c>
      <c r="U173" s="1297" t="str">
        <f>IFERROR(($E173*(VLOOKUP($C173&amp;"|"&amp;$D173,'Carbon factors'!$D$7:$H$361,3,0))),"")</f>
        <v/>
      </c>
      <c r="V173" s="183" t="str">
        <f>IFERROR(($E173*(VLOOKUP($C173&amp;"|"&amp;$D173,'Carbon factors'!$D$7:$H$361,4,0))),"")</f>
        <v/>
      </c>
      <c r="W173" s="1296" t="str">
        <f>IFERROR(($E173*(VLOOKUP($C173&amp;"|"&amp;$D173,'Carbon factors'!$D$7:$H$361,5,0))),"")</f>
        <v/>
      </c>
    </row>
    <row r="174" spans="1:27" ht="15" thickBot="1" x14ac:dyDescent="0.4">
      <c r="A174" s="1813"/>
      <c r="B174" s="824"/>
      <c r="C174" s="850"/>
      <c r="D174" s="574"/>
      <c r="E174" s="575"/>
      <c r="F174" s="186"/>
      <c r="G174" s="664" t="str" cm="1">
        <f t="array" ref="G174">IFERROR((_xlfn.IFS(F174=$AC$15,"3",F174=$AC$16,"2",F174=$AC$17,"1",F174=$AC$18,"1"))*E174,"")</f>
        <v/>
      </c>
      <c r="H174" s="166"/>
      <c r="I174" s="198"/>
      <c r="J174" s="202" t="str">
        <f>IFERROR(H174/VLOOKUP(I174,'$ Conversion'!$A$9:$B$40,2,0),"")</f>
        <v/>
      </c>
      <c r="K174" s="201"/>
      <c r="L174" s="819" t="str">
        <f>IFERROR(VLOOKUP(B174,Buildings!$B$9:$H$41,3,0),"")</f>
        <v/>
      </c>
      <c r="M174" s="449" t="str">
        <f>IFERROR(VLOOKUP(B174,Buildings!$B$9:$H$41,7,0),"")</f>
        <v/>
      </c>
      <c r="N174" s="1557" t="str">
        <f>IFERROR(VLOOKUP($C174&amp;"|"&amp;$D174,'Carbon factors'!$D$7:$E$361,2,0),"")</f>
        <v/>
      </c>
      <c r="O174" s="501" t="str">
        <f t="shared" si="8"/>
        <v/>
      </c>
      <c r="P174" s="1239" t="str" cm="1">
        <f t="array" ref="P174">IFERROR(_xlfn.IFS(L174="Y","Scope 1",L174="N","Scope 3",L174="Unknown","Manually Select Scope -&gt;"),"")</f>
        <v/>
      </c>
      <c r="Q174" s="1234"/>
      <c r="R174" s="676" t="str">
        <f t="shared" si="9"/>
        <v/>
      </c>
      <c r="U174" s="1297" t="str">
        <f>IFERROR(($E174*(VLOOKUP($C174&amp;"|"&amp;$D174,'Carbon factors'!$D$7:$H$361,3,0))),"")</f>
        <v/>
      </c>
      <c r="V174" s="183" t="str">
        <f>IFERROR(($E174*(VLOOKUP($C174&amp;"|"&amp;$D174,'Carbon factors'!$D$7:$H$361,4,0))),"")</f>
        <v/>
      </c>
      <c r="W174" s="1296" t="str">
        <f>IFERROR(($E174*(VLOOKUP($C174&amp;"|"&amp;$D174,'Carbon factors'!$D$7:$H$361,5,0))),"")</f>
        <v/>
      </c>
      <c r="Y174" s="6"/>
    </row>
    <row r="175" spans="1:27" ht="72" customHeight="1" thickBot="1" x14ac:dyDescent="0.5">
      <c r="A175" s="822" t="s">
        <v>528</v>
      </c>
      <c r="B175" s="827" t="s">
        <v>629</v>
      </c>
      <c r="C175" s="475" t="s">
        <v>532</v>
      </c>
      <c r="D175" s="172" t="s">
        <v>533</v>
      </c>
      <c r="E175" s="172" t="s">
        <v>534</v>
      </c>
      <c r="F175" s="171" t="s">
        <v>535</v>
      </c>
      <c r="G175" s="661" t="s">
        <v>536</v>
      </c>
      <c r="H175" s="172" t="s">
        <v>537</v>
      </c>
      <c r="I175" s="171" t="s">
        <v>142</v>
      </c>
      <c r="J175" s="172" t="s">
        <v>538</v>
      </c>
      <c r="K175" s="247" t="s">
        <v>630</v>
      </c>
      <c r="L175" s="171" t="s">
        <v>540</v>
      </c>
      <c r="M175" s="247" t="s">
        <v>541</v>
      </c>
      <c r="N175" s="233" t="s">
        <v>542</v>
      </c>
      <c r="O175" s="669" t="s">
        <v>543</v>
      </c>
      <c r="P175" s="171" t="s">
        <v>544</v>
      </c>
      <c r="Q175" s="1227" t="s">
        <v>545</v>
      </c>
      <c r="R175" s="671" t="s">
        <v>546</v>
      </c>
      <c r="U175" s="1447" t="s">
        <v>178</v>
      </c>
      <c r="V175" s="1448" t="s">
        <v>179</v>
      </c>
      <c r="W175" s="1449" t="s">
        <v>180</v>
      </c>
      <c r="Y175" s="6"/>
    </row>
    <row r="176" spans="1:27" ht="65.25" customHeight="1" thickBot="1" x14ac:dyDescent="0.4">
      <c r="A176" s="1807" t="s">
        <v>631</v>
      </c>
      <c r="B176" s="896" t="s">
        <v>554</v>
      </c>
      <c r="C176" s="476" t="s">
        <v>329</v>
      </c>
      <c r="D176" s="190" t="s">
        <v>329</v>
      </c>
      <c r="E176" s="193" t="s">
        <v>624</v>
      </c>
      <c r="F176" s="190" t="s">
        <v>329</v>
      </c>
      <c r="G176" s="665"/>
      <c r="H176" s="193" t="s">
        <v>467</v>
      </c>
      <c r="I176" s="190" t="s">
        <v>329</v>
      </c>
      <c r="J176" s="190" t="s">
        <v>556</v>
      </c>
      <c r="K176" s="1250" t="s">
        <v>517</v>
      </c>
      <c r="L176" s="190" t="s">
        <v>558</v>
      </c>
      <c r="M176" s="248" t="s">
        <v>558</v>
      </c>
      <c r="N176" s="267" t="s">
        <v>614</v>
      </c>
      <c r="O176" s="665" t="s">
        <v>560</v>
      </c>
      <c r="P176" s="191" t="s">
        <v>561</v>
      </c>
      <c r="Q176" s="1228" t="s">
        <v>562</v>
      </c>
      <c r="R176" s="672" t="s">
        <v>556</v>
      </c>
      <c r="U176" s="1450" t="s">
        <v>202</v>
      </c>
      <c r="V176" s="1451" t="s">
        <v>202</v>
      </c>
      <c r="W176" s="1452" t="s">
        <v>202</v>
      </c>
      <c r="Z176" s="600" t="s">
        <v>632</v>
      </c>
      <c r="AA176" s="601" t="s">
        <v>633</v>
      </c>
    </row>
    <row r="177" spans="1:27" x14ac:dyDescent="0.35">
      <c r="A177" s="1810"/>
      <c r="B177" s="897" t="s">
        <v>2593</v>
      </c>
      <c r="C177" s="578" t="s">
        <v>572</v>
      </c>
      <c r="D177" s="576" t="s">
        <v>575</v>
      </c>
      <c r="E177" s="576">
        <v>400</v>
      </c>
      <c r="F177" s="197" t="s">
        <v>573</v>
      </c>
      <c r="G177" s="666" cm="1">
        <f t="array" ref="G177">IFERROR((_xlfn.IFS(F177=$AC$15,"3",F177=$AC$16,"2",F177=$AC$17,"1",F177=$AC$18,"1"))*E177,"")</f>
        <v>800</v>
      </c>
      <c r="H177" s="199"/>
      <c r="I177" s="197"/>
      <c r="J177" s="440" t="str">
        <f>IFERROR(H177/VLOOKUP(I177,'$ Conversion'!$A$9:$B$40,2,0),"")</f>
        <v/>
      </c>
      <c r="K177" s="1251"/>
      <c r="L177" s="435" t="str">
        <f>IFERROR(VLOOKUP(B177,Buildings!$B$9:$H$41,3,0),"")</f>
        <v>y</v>
      </c>
      <c r="M177" s="920" t="str">
        <f>IFERROR(VLOOKUP(B177,Buildings!$B$9:$H$41,7,0),"")</f>
        <v>Y</v>
      </c>
      <c r="N177" s="1558">
        <f>IFERROR(VLOOKUP($C177&amp;"|"&amp;$D177,'Carbon factors'!$D$7:$E$361,2,0)*(IF(K177="",1,(1-K177))),"")</f>
        <v>2.7577600000000002</v>
      </c>
      <c r="O177" s="500">
        <f t="shared" ref="O177:O208" si="10">IFERROR(E177*N177,"")</f>
        <v>1103.104</v>
      </c>
      <c r="P177" s="435" t="str" cm="1">
        <f t="array" ref="P177">IFERROR(_xlfn.IFS(L177="unknown","Manually Select Scope -&gt;",M177="unknown","Manually Select Scope -&gt;",Z177&lt;&gt;AA177,"Scope 1"),"Scope 1")</f>
        <v>Scope 1</v>
      </c>
      <c r="Q177" s="1235"/>
      <c r="R177" s="673" t="str">
        <f t="shared" ref="R177:R208" si="11">IFERROR((J177*E177),"")</f>
        <v/>
      </c>
      <c r="U177" s="1297">
        <f>IFERROR(($E177*(VLOOKUP($C177&amp;"|"&amp;$D177,'Carbon factors'!$D$7:$H$361,3,0))),"")</f>
        <v>1089.6679999999999</v>
      </c>
      <c r="V177" s="183">
        <f>IFERROR(($E177*(VLOOKUP($C177&amp;"|"&amp;$D177,'Carbon factors'!$D$7:$H$361,4,0))),"")</f>
        <v>1.1280000000000001</v>
      </c>
      <c r="W177" s="1296">
        <f>IFERROR(($E177*(VLOOKUP($C177&amp;"|"&amp;$D177,'Carbon factors'!$D$7:$H$361,5,0))),"")</f>
        <v>12.308</v>
      </c>
      <c r="Z177" s="598" t="str">
        <f t="shared" ref="Z177:Z208" si="12">IF(AND(M177="Y",OR(C177="Generator Petrol",C177="Generator Diesel or Gas oil")),"Scope 1","Scope 3")</f>
        <v>Scope 1</v>
      </c>
      <c r="AA177" s="599" t="str">
        <f t="shared" ref="AA177:AA208" si="13">IF(AND(L177="Y",OR(C177="Non-Generator Petrol",C177="Non-Generator Diesel or Gas oil",C177="Kerosene or Burning oil",C177="Fuel oil or Heavy oil",C177="Waste oils",C177="Biodiesel",C177="Bioethanol",C177="Other liquid fuel")),"Scope 1","Scope 3")</f>
        <v>Scope 3</v>
      </c>
    </row>
    <row r="178" spans="1:27" x14ac:dyDescent="0.35">
      <c r="A178" s="1810"/>
      <c r="B178" s="898"/>
      <c r="C178" s="579"/>
      <c r="D178" s="577"/>
      <c r="E178" s="577"/>
      <c r="F178" s="186"/>
      <c r="G178" s="664" t="str" cm="1">
        <f t="array" ref="G178">IFERROR((_xlfn.IFS(F178=$AC$15,"3",F178=$AC$16,"2",F178=$AC$17,"1",F178=$AC$18,"1"))*E178,"")</f>
        <v/>
      </c>
      <c r="H178" s="168"/>
      <c r="I178" s="186"/>
      <c r="J178" s="183" t="str">
        <f>IFERROR(H178/VLOOKUP(I178,'$ Conversion'!$A$9:$B$40,2,0),"")</f>
        <v/>
      </c>
      <c r="K178" s="1252"/>
      <c r="L178" s="179" t="str">
        <f>IFERROR(VLOOKUP(B178,Buildings!$B$9:$H$41,3,0),"")</f>
        <v/>
      </c>
      <c r="M178" s="210" t="str">
        <f>IFERROR(VLOOKUP(B178,Buildings!$B$9:$H$41,7,0),"")</f>
        <v/>
      </c>
      <c r="N178" s="1553" t="str">
        <f>IFERROR(VLOOKUP($C178&amp;"|"&amp;$D178,'Carbon factors'!$D$7:$E$361,2,0)*(IF(K178="",1,(1-K178))),"")</f>
        <v/>
      </c>
      <c r="O178" s="501" t="str">
        <f t="shared" si="10"/>
        <v/>
      </c>
      <c r="P178" s="179" t="str" cm="1">
        <f t="array" ref="P178">IFERROR(_xlfn.IFS(L178="unknown","Manually Select Scope -&gt;",M178="unknown","Manually Select Scope -&gt;",Z178&lt;&gt;AA178,"Scope 1"),"Scope 1")</f>
        <v>Scope 1</v>
      </c>
      <c r="Q178" s="1236"/>
      <c r="R178" s="674" t="str">
        <f t="shared" si="11"/>
        <v/>
      </c>
      <c r="U178" s="1297" t="str">
        <f>IFERROR(($E178*(VLOOKUP($C178&amp;"|"&amp;$D178,'Carbon factors'!$D$7:$H$361,3,0))),"")</f>
        <v/>
      </c>
      <c r="V178" s="183" t="str">
        <f>IFERROR(($E178*(VLOOKUP($C178&amp;"|"&amp;$D178,'Carbon factors'!$D$7:$H$361,4,0))),"")</f>
        <v/>
      </c>
      <c r="W178" s="1296" t="str">
        <f>IFERROR(($E178*(VLOOKUP($C178&amp;"|"&amp;$D178,'Carbon factors'!$D$7:$H$361,5,0))),"")</f>
        <v/>
      </c>
      <c r="Z178" s="598" t="str">
        <f t="shared" si="12"/>
        <v>Scope 3</v>
      </c>
      <c r="AA178" s="599" t="str">
        <f t="shared" si="13"/>
        <v>Scope 3</v>
      </c>
    </row>
    <row r="179" spans="1:27" x14ac:dyDescent="0.35">
      <c r="A179" s="1810"/>
      <c r="B179" s="898"/>
      <c r="C179" s="579"/>
      <c r="D179" s="577"/>
      <c r="E179" s="577"/>
      <c r="F179" s="186"/>
      <c r="G179" s="664" t="str" cm="1">
        <f t="array" ref="G179">IFERROR((_xlfn.IFS(F179=$AC$15,"3",F179=$AC$16,"2",F179=$AC$17,"1",F179=$AC$18,"1"))*E179,"")</f>
        <v/>
      </c>
      <c r="H179" s="168"/>
      <c r="I179" s="186"/>
      <c r="J179" s="183" t="str">
        <f>IFERROR(H179/VLOOKUP(I179,'$ Conversion'!$A$9:$B$40,2,0),"")</f>
        <v/>
      </c>
      <c r="K179" s="1438"/>
      <c r="L179" s="179" t="str">
        <f>IFERROR(VLOOKUP(B179,Buildings!$B$9:$H$41,3,0),"")</f>
        <v/>
      </c>
      <c r="M179" s="210" t="str">
        <f>IFERROR(VLOOKUP(B179,Buildings!$B$9:$H$41,7,0),"")</f>
        <v/>
      </c>
      <c r="N179" s="1553" t="str">
        <f>IFERROR(VLOOKUP($C179&amp;"|"&amp;$D179,'Carbon factors'!$D$7:$E$361,2,0)*(IF(K179="",1,(1-K179))),"")</f>
        <v/>
      </c>
      <c r="O179" s="501" t="str">
        <f t="shared" si="10"/>
        <v/>
      </c>
      <c r="P179" s="179" t="str" cm="1">
        <f t="array" ref="P179">IFERROR(_xlfn.IFS(L179="unknown","Manually Select Scope -&gt;",M179="unknown","Manually Select Scope -&gt;",Z179&lt;&gt;AA179,"Scope 1"),"Scope 1")</f>
        <v>Scope 1</v>
      </c>
      <c r="Q179" s="1236"/>
      <c r="R179" s="674" t="str">
        <f t="shared" si="11"/>
        <v/>
      </c>
      <c r="U179" s="1297" t="str">
        <f>IFERROR(($E179*(VLOOKUP($C179&amp;"|"&amp;$D179,'Carbon factors'!$D$7:$H$361,3,0))),"")</f>
        <v/>
      </c>
      <c r="V179" s="183" t="str">
        <f>IFERROR(($E179*(VLOOKUP($C179&amp;"|"&amp;$D179,'Carbon factors'!$D$7:$H$361,4,0))),"")</f>
        <v/>
      </c>
      <c r="W179" s="1296" t="str">
        <f>IFERROR(($E179*(VLOOKUP($C179&amp;"|"&amp;$D179,'Carbon factors'!$D$7:$H$361,5,0))),"")</f>
        <v/>
      </c>
      <c r="Z179" s="598" t="str">
        <f t="shared" si="12"/>
        <v>Scope 3</v>
      </c>
      <c r="AA179" s="599" t="str">
        <f t="shared" si="13"/>
        <v>Scope 3</v>
      </c>
    </row>
    <row r="180" spans="1:27" x14ac:dyDescent="0.35">
      <c r="A180" s="1810"/>
      <c r="B180" s="898"/>
      <c r="C180" s="579"/>
      <c r="D180" s="577"/>
      <c r="E180" s="577"/>
      <c r="F180" s="186"/>
      <c r="G180" s="664" t="str" cm="1">
        <f t="array" ref="G180">IFERROR((_xlfn.IFS(F180=$AC$15,"3",F180=$AC$16,"2",F180=$AC$17,"1",F180=$AC$18,"1"))*E180,"")</f>
        <v/>
      </c>
      <c r="H180" s="168"/>
      <c r="I180" s="186"/>
      <c r="J180" s="183" t="str">
        <f>IFERROR(H180/VLOOKUP(I180,'$ Conversion'!$A$9:$B$40,2,0),"")</f>
        <v/>
      </c>
      <c r="K180" s="1438"/>
      <c r="L180" s="179" t="str">
        <f>IFERROR(VLOOKUP(B180,Buildings!$B$9:$H$41,3,0),"")</f>
        <v/>
      </c>
      <c r="M180" s="210" t="str">
        <f>IFERROR(VLOOKUP(B180,Buildings!$B$9:$H$41,7,0),"")</f>
        <v/>
      </c>
      <c r="N180" s="1553" t="str">
        <f>IFERROR(VLOOKUP($C180&amp;"|"&amp;$D180,'Carbon factors'!$D$7:$E$361,2,0)*(IF(K180="",1,(1-K180))),"")</f>
        <v/>
      </c>
      <c r="O180" s="501" t="str">
        <f t="shared" si="10"/>
        <v/>
      </c>
      <c r="P180" s="179" t="str" cm="1">
        <f t="array" ref="P180">IFERROR(_xlfn.IFS(L180="unknown","Manually Select Scope -&gt;",M180="unknown","Manually Select Scope -&gt;",Z180&lt;&gt;AA180,"Scope 1"),"Scope 1")</f>
        <v>Scope 1</v>
      </c>
      <c r="Q180" s="1236"/>
      <c r="R180" s="674" t="str">
        <f t="shared" si="11"/>
        <v/>
      </c>
      <c r="U180" s="1297" t="str">
        <f>IFERROR(($E180*(VLOOKUP($C180&amp;"|"&amp;$D180,'Carbon factors'!$D$7:$H$361,3,0))),"")</f>
        <v/>
      </c>
      <c r="V180" s="183" t="str">
        <f>IFERROR(($E180*(VLOOKUP($C180&amp;"|"&amp;$D180,'Carbon factors'!$D$7:$H$361,4,0))),"")</f>
        <v/>
      </c>
      <c r="W180" s="1296" t="str">
        <f>IFERROR(($E180*(VLOOKUP($C180&amp;"|"&amp;$D180,'Carbon factors'!$D$7:$H$361,5,0))),"")</f>
        <v/>
      </c>
      <c r="Z180" s="598" t="str">
        <f t="shared" si="12"/>
        <v>Scope 3</v>
      </c>
      <c r="AA180" s="599" t="str">
        <f t="shared" si="13"/>
        <v>Scope 3</v>
      </c>
    </row>
    <row r="181" spans="1:27" x14ac:dyDescent="0.35">
      <c r="A181" s="1810"/>
      <c r="B181" s="898"/>
      <c r="C181" s="579"/>
      <c r="D181" s="577"/>
      <c r="E181" s="577"/>
      <c r="F181" s="186"/>
      <c r="G181" s="664" t="str" cm="1">
        <f t="array" ref="G181">IFERROR((_xlfn.IFS(F181=$AC$15,"3",F181=$AC$16,"2",F181=$AC$17,"1",F181=$AC$18,"1"))*E181,"")</f>
        <v/>
      </c>
      <c r="H181" s="168"/>
      <c r="I181" s="186"/>
      <c r="J181" s="183" t="str">
        <f>IFERROR(H181/VLOOKUP(I181,'$ Conversion'!$A$9:$B$40,2,0),"")</f>
        <v/>
      </c>
      <c r="K181" s="1438"/>
      <c r="L181" s="179" t="str">
        <f>IFERROR(VLOOKUP(B181,Buildings!$B$9:$H$41,3,0),"")</f>
        <v/>
      </c>
      <c r="M181" s="210" t="str">
        <f>IFERROR(VLOOKUP(B181,Buildings!$B$9:$H$41,7,0),"")</f>
        <v/>
      </c>
      <c r="N181" s="1553" t="str">
        <f>IFERROR(VLOOKUP($C181&amp;"|"&amp;$D181,'Carbon factors'!$D$7:$E$361,2,0)*(IF(K181="",1,(1-K181))),"")</f>
        <v/>
      </c>
      <c r="O181" s="501" t="str">
        <f t="shared" si="10"/>
        <v/>
      </c>
      <c r="P181" s="179" t="str" cm="1">
        <f t="array" ref="P181">IFERROR(_xlfn.IFS(L181="unknown","Manually Select Scope -&gt;",M181="unknown","Manually Select Scope -&gt;",Z181&lt;&gt;AA181,"Scope 1"),"Scope 1")</f>
        <v>Scope 1</v>
      </c>
      <c r="Q181" s="1236"/>
      <c r="R181" s="674" t="str">
        <f t="shared" si="11"/>
        <v/>
      </c>
      <c r="U181" s="1297" t="str">
        <f>IFERROR(($E181*(VLOOKUP($C181&amp;"|"&amp;$D181,'Carbon factors'!$D$7:$H$361,3,0))),"")</f>
        <v/>
      </c>
      <c r="V181" s="183" t="str">
        <f>IFERROR(($E181*(VLOOKUP($C181&amp;"|"&amp;$D181,'Carbon factors'!$D$7:$H$361,4,0))),"")</f>
        <v/>
      </c>
      <c r="W181" s="1296" t="str">
        <f>IFERROR(($E181*(VLOOKUP($C181&amp;"|"&amp;$D181,'Carbon factors'!$D$7:$H$361,5,0))),"")</f>
        <v/>
      </c>
      <c r="Z181" s="598" t="str">
        <f t="shared" si="12"/>
        <v>Scope 3</v>
      </c>
      <c r="AA181" s="599" t="str">
        <f t="shared" si="13"/>
        <v>Scope 3</v>
      </c>
    </row>
    <row r="182" spans="1:27" x14ac:dyDescent="0.35">
      <c r="A182" s="1810"/>
      <c r="B182" s="898"/>
      <c r="C182" s="579"/>
      <c r="D182" s="577"/>
      <c r="E182" s="577"/>
      <c r="F182" s="186"/>
      <c r="G182" s="664" t="str" cm="1">
        <f t="array" ref="G182">IFERROR((_xlfn.IFS(F182=$AC$15,"3",F182=$AC$16,"2",F182=$AC$17,"1",F182=$AC$18,"1"))*E182,"")</f>
        <v/>
      </c>
      <c r="H182" s="168"/>
      <c r="I182" s="186"/>
      <c r="J182" s="183" t="str">
        <f>IFERROR(H182/VLOOKUP(I182,'$ Conversion'!$A$9:$B$40,2,0),"")</f>
        <v/>
      </c>
      <c r="K182" s="1438"/>
      <c r="L182" s="179" t="str">
        <f>IFERROR(VLOOKUP(B182,Buildings!$B$9:$H$41,3,0),"")</f>
        <v/>
      </c>
      <c r="M182" s="210" t="str">
        <f>IFERROR(VLOOKUP(B182,Buildings!$B$9:$H$41,7,0),"")</f>
        <v/>
      </c>
      <c r="N182" s="1553" t="str">
        <f>IFERROR(VLOOKUP($C182&amp;"|"&amp;$D182,'Carbon factors'!$D$7:$E$361,2,0)*(IF(K182="",1,(1-K182))),"")</f>
        <v/>
      </c>
      <c r="O182" s="501" t="str">
        <f t="shared" si="10"/>
        <v/>
      </c>
      <c r="P182" s="179" t="str" cm="1">
        <f t="array" ref="P182">IFERROR(_xlfn.IFS(L182="unknown","Manually Select Scope -&gt;",M182="unknown","Manually Select Scope -&gt;",Z182&lt;&gt;AA182,"Scope 1"),"Scope 1")</f>
        <v>Scope 1</v>
      </c>
      <c r="Q182" s="1236"/>
      <c r="R182" s="674" t="str">
        <f t="shared" si="11"/>
        <v/>
      </c>
      <c r="U182" s="1297" t="str">
        <f>IFERROR(($E182*(VLOOKUP($C182&amp;"|"&amp;$D182,'Carbon factors'!$D$7:$H$361,3,0))),"")</f>
        <v/>
      </c>
      <c r="V182" s="183" t="str">
        <f>IFERROR(($E182*(VLOOKUP($C182&amp;"|"&amp;$D182,'Carbon factors'!$D$7:$H$361,4,0))),"")</f>
        <v/>
      </c>
      <c r="W182" s="1296" t="str">
        <f>IFERROR(($E182*(VLOOKUP($C182&amp;"|"&amp;$D182,'Carbon factors'!$D$7:$H$361,5,0))),"")</f>
        <v/>
      </c>
      <c r="Z182" s="598" t="str">
        <f t="shared" si="12"/>
        <v>Scope 3</v>
      </c>
      <c r="AA182" s="599" t="str">
        <f t="shared" si="13"/>
        <v>Scope 3</v>
      </c>
    </row>
    <row r="183" spans="1:27" x14ac:dyDescent="0.35">
      <c r="A183" s="1810"/>
      <c r="B183" s="898"/>
      <c r="C183" s="579"/>
      <c r="D183" s="577"/>
      <c r="E183" s="577"/>
      <c r="F183" s="186"/>
      <c r="G183" s="664" t="str" cm="1">
        <f t="array" ref="G183">IFERROR((_xlfn.IFS(F183=$AC$15,"3",F183=$AC$16,"2",F183=$AC$17,"1",F183=$AC$18,"1"))*E183,"")</f>
        <v/>
      </c>
      <c r="H183" s="168"/>
      <c r="I183" s="186"/>
      <c r="J183" s="183" t="str">
        <f>IFERROR(H183/VLOOKUP(I183,'$ Conversion'!$A$9:$B$40,2,0),"")</f>
        <v/>
      </c>
      <c r="K183" s="1438"/>
      <c r="L183" s="179" t="str">
        <f>IFERROR(VLOOKUP(B183,Buildings!$B$9:$H$41,3,0),"")</f>
        <v/>
      </c>
      <c r="M183" s="210" t="str">
        <f>IFERROR(VLOOKUP(B183,Buildings!$B$9:$H$41,7,0),"")</f>
        <v/>
      </c>
      <c r="N183" s="1553" t="str">
        <f>IFERROR(VLOOKUP($C183&amp;"|"&amp;$D183,'Carbon factors'!$D$7:$E$361,2,0)*(IF(K183="",1,(1-K183))),"")</f>
        <v/>
      </c>
      <c r="O183" s="501" t="str">
        <f t="shared" si="10"/>
        <v/>
      </c>
      <c r="P183" s="179" t="str" cm="1">
        <f t="array" ref="P183">IFERROR(_xlfn.IFS(L183="unknown","Manually Select Scope -&gt;",M183="unknown","Manually Select Scope -&gt;",Z183&lt;&gt;AA183,"Scope 1"),"Scope 1")</f>
        <v>Scope 1</v>
      </c>
      <c r="Q183" s="1236"/>
      <c r="R183" s="674" t="str">
        <f t="shared" si="11"/>
        <v/>
      </c>
      <c r="U183" s="1297" t="str">
        <f>IFERROR(($E183*(VLOOKUP($C183&amp;"|"&amp;$D183,'Carbon factors'!$D$7:$H$361,3,0))),"")</f>
        <v/>
      </c>
      <c r="V183" s="183" t="str">
        <f>IFERROR(($E183*(VLOOKUP($C183&amp;"|"&amp;$D183,'Carbon factors'!$D$7:$H$361,4,0))),"")</f>
        <v/>
      </c>
      <c r="W183" s="1296" t="str">
        <f>IFERROR(($E183*(VLOOKUP($C183&amp;"|"&amp;$D183,'Carbon factors'!$D$7:$H$361,5,0))),"")</f>
        <v/>
      </c>
      <c r="Z183" s="598" t="str">
        <f t="shared" si="12"/>
        <v>Scope 3</v>
      </c>
      <c r="AA183" s="599" t="str">
        <f t="shared" si="13"/>
        <v>Scope 3</v>
      </c>
    </row>
    <row r="184" spans="1:27" x14ac:dyDescent="0.35">
      <c r="A184" s="1810"/>
      <c r="B184" s="898"/>
      <c r="C184" s="579"/>
      <c r="D184" s="577"/>
      <c r="E184" s="577"/>
      <c r="F184" s="186"/>
      <c r="G184" s="664" t="str" cm="1">
        <f t="array" ref="G184">IFERROR((_xlfn.IFS(F184=$AC$15,"3",F184=$AC$16,"2",F184=$AC$17,"1",F184=$AC$18,"1"))*E184,"")</f>
        <v/>
      </c>
      <c r="H184" s="168"/>
      <c r="I184" s="186"/>
      <c r="J184" s="183" t="str">
        <f>IFERROR(H184/VLOOKUP(I184,'$ Conversion'!$A$9:$B$40,2,0),"")</f>
        <v/>
      </c>
      <c r="K184" s="1438"/>
      <c r="L184" s="179" t="str">
        <f>IFERROR(VLOOKUP(B184,Buildings!$B$9:$H$41,3,0),"")</f>
        <v/>
      </c>
      <c r="M184" s="210" t="str">
        <f>IFERROR(VLOOKUP(B184,Buildings!$B$9:$H$41,7,0),"")</f>
        <v/>
      </c>
      <c r="N184" s="1553" t="str">
        <f>IFERROR(VLOOKUP($C184&amp;"|"&amp;$D184,'Carbon factors'!$D$7:$E$361,2,0)*(IF(K184="",1,(1-K184))),"")</f>
        <v/>
      </c>
      <c r="O184" s="501" t="str">
        <f t="shared" si="10"/>
        <v/>
      </c>
      <c r="P184" s="179" t="str" cm="1">
        <f t="array" ref="P184">IFERROR(_xlfn.IFS(L184="unknown","Manually Select Scope -&gt;",M184="unknown","Manually Select Scope -&gt;",Z184&lt;&gt;AA184,"Scope 1"),"Scope 1")</f>
        <v>Scope 1</v>
      </c>
      <c r="Q184" s="1236"/>
      <c r="R184" s="674" t="str">
        <f t="shared" si="11"/>
        <v/>
      </c>
      <c r="U184" s="1297" t="str">
        <f>IFERROR(($E184*(VLOOKUP($C184&amp;"|"&amp;$D184,'Carbon factors'!$D$7:$H$361,3,0))),"")</f>
        <v/>
      </c>
      <c r="V184" s="183" t="str">
        <f>IFERROR(($E184*(VLOOKUP($C184&amp;"|"&amp;$D184,'Carbon factors'!$D$7:$H$361,4,0))),"")</f>
        <v/>
      </c>
      <c r="W184" s="1296" t="str">
        <f>IFERROR(($E184*(VLOOKUP($C184&amp;"|"&amp;$D184,'Carbon factors'!$D$7:$H$361,5,0))),"")</f>
        <v/>
      </c>
      <c r="Z184" s="598" t="str">
        <f t="shared" si="12"/>
        <v>Scope 3</v>
      </c>
      <c r="AA184" s="599" t="str">
        <f t="shared" si="13"/>
        <v>Scope 3</v>
      </c>
    </row>
    <row r="185" spans="1:27" x14ac:dyDescent="0.35">
      <c r="A185" s="1810"/>
      <c r="B185" s="898"/>
      <c r="C185" s="579"/>
      <c r="D185" s="577"/>
      <c r="E185" s="577"/>
      <c r="F185" s="186"/>
      <c r="G185" s="664" t="str" cm="1">
        <f t="array" ref="G185">IFERROR((_xlfn.IFS(F185=$AC$15,"3",F185=$AC$16,"2",F185=$AC$17,"1",F185=$AC$18,"1"))*E185,"")</f>
        <v/>
      </c>
      <c r="H185" s="168"/>
      <c r="I185" s="186"/>
      <c r="J185" s="183" t="str">
        <f>IFERROR(H185/VLOOKUP(I185,'$ Conversion'!$A$9:$B$40,2,0),"")</f>
        <v/>
      </c>
      <c r="K185" s="1438"/>
      <c r="L185" s="179" t="str">
        <f>IFERROR(VLOOKUP(B185,Buildings!$B$9:$H$41,3,0),"")</f>
        <v/>
      </c>
      <c r="M185" s="210" t="str">
        <f>IFERROR(VLOOKUP(B185,Buildings!$B$9:$H$41,7,0),"")</f>
        <v/>
      </c>
      <c r="N185" s="1553" t="str">
        <f>IFERROR(VLOOKUP($C185&amp;"|"&amp;$D185,'Carbon factors'!$D$7:$E$361,2,0)*(IF(K185="",1,(1-K185))),"")</f>
        <v/>
      </c>
      <c r="O185" s="501" t="str">
        <f t="shared" si="10"/>
        <v/>
      </c>
      <c r="P185" s="179" t="str" cm="1">
        <f t="array" ref="P185">IFERROR(_xlfn.IFS(L185="unknown","Manually Select Scope -&gt;",M185="unknown","Manually Select Scope -&gt;",Z185&lt;&gt;AA185,"Scope 1"),"Scope 1")</f>
        <v>Scope 1</v>
      </c>
      <c r="Q185" s="1236"/>
      <c r="R185" s="674" t="str">
        <f t="shared" si="11"/>
        <v/>
      </c>
      <c r="U185" s="1297" t="str">
        <f>IFERROR(($E185*(VLOOKUP($C185&amp;"|"&amp;$D185,'Carbon factors'!$D$7:$H$361,3,0))),"")</f>
        <v/>
      </c>
      <c r="V185" s="183" t="str">
        <f>IFERROR(($E185*(VLOOKUP($C185&amp;"|"&amp;$D185,'Carbon factors'!$D$7:$H$361,4,0))),"")</f>
        <v/>
      </c>
      <c r="W185" s="1296" t="str">
        <f>IFERROR(($E185*(VLOOKUP($C185&amp;"|"&amp;$D185,'Carbon factors'!$D$7:$H$361,5,0))),"")</f>
        <v/>
      </c>
      <c r="Z185" s="598" t="str">
        <f t="shared" si="12"/>
        <v>Scope 3</v>
      </c>
      <c r="AA185" s="599" t="str">
        <f t="shared" si="13"/>
        <v>Scope 3</v>
      </c>
    </row>
    <row r="186" spans="1:27" x14ac:dyDescent="0.35">
      <c r="A186" s="1810"/>
      <c r="B186" s="898"/>
      <c r="C186" s="579"/>
      <c r="D186" s="577"/>
      <c r="E186" s="577"/>
      <c r="F186" s="186"/>
      <c r="G186" s="664" t="str" cm="1">
        <f t="array" ref="G186">IFERROR((_xlfn.IFS(F186=$AC$15,"3",F186=$AC$16,"2",F186=$AC$17,"1",F186=$AC$18,"1"))*E186,"")</f>
        <v/>
      </c>
      <c r="H186" s="168"/>
      <c r="I186" s="186"/>
      <c r="J186" s="183" t="str">
        <f>IFERROR(H186/VLOOKUP(I186,'$ Conversion'!$A$9:$B$40,2,0),"")</f>
        <v/>
      </c>
      <c r="K186" s="1438"/>
      <c r="L186" s="179" t="str">
        <f>IFERROR(VLOOKUP(B186,Buildings!$B$9:$H$41,3,0),"")</f>
        <v/>
      </c>
      <c r="M186" s="210" t="str">
        <f>IFERROR(VLOOKUP(B186,Buildings!$B$9:$H$41,7,0),"")</f>
        <v/>
      </c>
      <c r="N186" s="1553" t="str">
        <f>IFERROR(VLOOKUP($C186&amp;"|"&amp;$D186,'Carbon factors'!$D$7:$E$361,2,0)*(IF(K186="",1,(1-K186))),"")</f>
        <v/>
      </c>
      <c r="O186" s="501" t="str">
        <f t="shared" si="10"/>
        <v/>
      </c>
      <c r="P186" s="179" t="str" cm="1">
        <f t="array" ref="P186">IFERROR(_xlfn.IFS(L186="unknown","Manually Select Scope -&gt;",M186="unknown","Manually Select Scope -&gt;",Z186&lt;&gt;AA186,"Scope 1"),"Scope 1")</f>
        <v>Scope 1</v>
      </c>
      <c r="Q186" s="1236"/>
      <c r="R186" s="674" t="str">
        <f t="shared" si="11"/>
        <v/>
      </c>
      <c r="U186" s="1297" t="str">
        <f>IFERROR(($E186*(VLOOKUP($C186&amp;"|"&amp;$D186,'Carbon factors'!$D$7:$H$361,3,0))),"")</f>
        <v/>
      </c>
      <c r="V186" s="183" t="str">
        <f>IFERROR(($E186*(VLOOKUP($C186&amp;"|"&amp;$D186,'Carbon factors'!$D$7:$H$361,4,0))),"")</f>
        <v/>
      </c>
      <c r="W186" s="1296" t="str">
        <f>IFERROR(($E186*(VLOOKUP($C186&amp;"|"&amp;$D186,'Carbon factors'!$D$7:$H$361,5,0))),"")</f>
        <v/>
      </c>
      <c r="Z186" s="598" t="str">
        <f t="shared" si="12"/>
        <v>Scope 3</v>
      </c>
      <c r="AA186" s="599" t="str">
        <f t="shared" si="13"/>
        <v>Scope 3</v>
      </c>
    </row>
    <row r="187" spans="1:27" x14ac:dyDescent="0.35">
      <c r="A187" s="1810"/>
      <c r="B187" s="898"/>
      <c r="C187" s="579"/>
      <c r="D187" s="577"/>
      <c r="E187" s="577"/>
      <c r="F187" s="186"/>
      <c r="G187" s="664" t="str" cm="1">
        <f t="array" ref="G187">IFERROR((_xlfn.IFS(F187=$AC$15,"3",F187=$AC$16,"2",F187=$AC$17,"1",F187=$AC$18,"1"))*E187,"")</f>
        <v/>
      </c>
      <c r="H187" s="168"/>
      <c r="I187" s="186"/>
      <c r="J187" s="183" t="str">
        <f>IFERROR(H187/VLOOKUP(I187,'$ Conversion'!$A$9:$B$40,2,0),"")</f>
        <v/>
      </c>
      <c r="K187" s="1438"/>
      <c r="L187" s="179" t="str">
        <f>IFERROR(VLOOKUP(B187,Buildings!$B$9:$H$41,3,0),"")</f>
        <v/>
      </c>
      <c r="M187" s="210" t="str">
        <f>IFERROR(VLOOKUP(B187,Buildings!$B$9:$H$41,7,0),"")</f>
        <v/>
      </c>
      <c r="N187" s="1553" t="str">
        <f>IFERROR(VLOOKUP($C187&amp;"|"&amp;$D187,'Carbon factors'!$D$7:$E$361,2,0)*(IF(K187="",1,(1-K187))),"")</f>
        <v/>
      </c>
      <c r="O187" s="501" t="str">
        <f t="shared" si="10"/>
        <v/>
      </c>
      <c r="P187" s="179" t="str" cm="1">
        <f t="array" ref="P187">IFERROR(_xlfn.IFS(L187="unknown","Manually Select Scope -&gt;",M187="unknown","Manually Select Scope -&gt;",Z187&lt;&gt;AA187,"Scope 1"),"Scope 1")</f>
        <v>Scope 1</v>
      </c>
      <c r="Q187" s="1236"/>
      <c r="R187" s="674" t="str">
        <f t="shared" si="11"/>
        <v/>
      </c>
      <c r="U187" s="1297" t="str">
        <f>IFERROR(($E187*(VLOOKUP($C187&amp;"|"&amp;$D187,'Carbon factors'!$D$7:$H$361,3,0))),"")</f>
        <v/>
      </c>
      <c r="V187" s="183" t="str">
        <f>IFERROR(($E187*(VLOOKUP($C187&amp;"|"&amp;$D187,'Carbon factors'!$D$7:$H$361,4,0))),"")</f>
        <v/>
      </c>
      <c r="W187" s="1296" t="str">
        <f>IFERROR(($E187*(VLOOKUP($C187&amp;"|"&amp;$D187,'Carbon factors'!$D$7:$H$361,5,0))),"")</f>
        <v/>
      </c>
      <c r="Z187" s="598" t="str">
        <f t="shared" si="12"/>
        <v>Scope 3</v>
      </c>
      <c r="AA187" s="599" t="str">
        <f t="shared" si="13"/>
        <v>Scope 3</v>
      </c>
    </row>
    <row r="188" spans="1:27" x14ac:dyDescent="0.35">
      <c r="A188" s="1810"/>
      <c r="B188" s="898"/>
      <c r="C188" s="579"/>
      <c r="D188" s="577"/>
      <c r="E188" s="577"/>
      <c r="F188" s="186"/>
      <c r="G188" s="664" t="str" cm="1">
        <f t="array" ref="G188">IFERROR((_xlfn.IFS(F188=$AC$15,"3",F188=$AC$16,"2",F188=$AC$17,"1",F188=$AC$18,"1"))*E188,"")</f>
        <v/>
      </c>
      <c r="H188" s="168"/>
      <c r="I188" s="186"/>
      <c r="J188" s="183" t="str">
        <f>IFERROR(H188/VLOOKUP(I188,'$ Conversion'!$A$9:$B$40,2,0),"")</f>
        <v/>
      </c>
      <c r="K188" s="1438"/>
      <c r="L188" s="179" t="str">
        <f>IFERROR(VLOOKUP(B188,Buildings!$B$9:$H$41,3,0),"")</f>
        <v/>
      </c>
      <c r="M188" s="210" t="str">
        <f>IFERROR(VLOOKUP(B188,Buildings!$B$9:$H$41,7,0),"")</f>
        <v/>
      </c>
      <c r="N188" s="1553" t="str">
        <f>IFERROR(VLOOKUP($C188&amp;"|"&amp;$D188,'Carbon factors'!$D$7:$E$361,2,0)*(IF(K188="",1,(1-K188))),"")</f>
        <v/>
      </c>
      <c r="O188" s="501" t="str">
        <f t="shared" si="10"/>
        <v/>
      </c>
      <c r="P188" s="179" t="str" cm="1">
        <f t="array" ref="P188">IFERROR(_xlfn.IFS(L188="unknown","Manually Select Scope -&gt;",M188="unknown","Manually Select Scope -&gt;",Z188&lt;&gt;AA188,"Scope 1"),"Scope 1")</f>
        <v>Scope 1</v>
      </c>
      <c r="Q188" s="1236"/>
      <c r="R188" s="674" t="str">
        <f t="shared" si="11"/>
        <v/>
      </c>
      <c r="U188" s="1297" t="str">
        <f>IFERROR(($E188*(VLOOKUP($C188&amp;"|"&amp;$D188,'Carbon factors'!$D$7:$H$361,3,0))),"")</f>
        <v/>
      </c>
      <c r="V188" s="183" t="str">
        <f>IFERROR(($E188*(VLOOKUP($C188&amp;"|"&amp;$D188,'Carbon factors'!$D$7:$H$361,4,0))),"")</f>
        <v/>
      </c>
      <c r="W188" s="1296" t="str">
        <f>IFERROR(($E188*(VLOOKUP($C188&amp;"|"&amp;$D188,'Carbon factors'!$D$7:$H$361,5,0))),"")</f>
        <v/>
      </c>
      <c r="Z188" s="598" t="str">
        <f t="shared" si="12"/>
        <v>Scope 3</v>
      </c>
      <c r="AA188" s="599" t="str">
        <f t="shared" si="13"/>
        <v>Scope 3</v>
      </c>
    </row>
    <row r="189" spans="1:27" x14ac:dyDescent="0.35">
      <c r="A189" s="1810"/>
      <c r="B189" s="898"/>
      <c r="C189" s="579"/>
      <c r="D189" s="577"/>
      <c r="E189" s="577"/>
      <c r="F189" s="186"/>
      <c r="G189" s="664" t="str" cm="1">
        <f t="array" ref="G189">IFERROR((_xlfn.IFS(F189=$AC$15,"3",F189=$AC$16,"2",F189=$AC$17,"1",F189=$AC$18,"1"))*E189,"")</f>
        <v/>
      </c>
      <c r="H189" s="168"/>
      <c r="I189" s="186"/>
      <c r="J189" s="183" t="str">
        <f>IFERROR(H189/VLOOKUP(I189,'$ Conversion'!$A$9:$B$40,2,0),"")</f>
        <v/>
      </c>
      <c r="K189" s="1438"/>
      <c r="L189" s="179" t="str">
        <f>IFERROR(VLOOKUP(B189,Buildings!$B$9:$H$41,3,0),"")</f>
        <v/>
      </c>
      <c r="M189" s="210" t="str">
        <f>IFERROR(VLOOKUP(B189,Buildings!$B$9:$H$41,7,0),"")</f>
        <v/>
      </c>
      <c r="N189" s="1553" t="str">
        <f>IFERROR(VLOOKUP($C189&amp;"|"&amp;$D189,'Carbon factors'!$D$7:$E$361,2,0)*(IF(K189="",1,(1-K189))),"")</f>
        <v/>
      </c>
      <c r="O189" s="501" t="str">
        <f t="shared" si="10"/>
        <v/>
      </c>
      <c r="P189" s="179" t="str" cm="1">
        <f t="array" ref="P189">IFERROR(_xlfn.IFS(L189="unknown","Manually Select Scope -&gt;",M189="unknown","Manually Select Scope -&gt;",Z189&lt;&gt;AA189,"Scope 1"),"Scope 1")</f>
        <v>Scope 1</v>
      </c>
      <c r="Q189" s="1236"/>
      <c r="R189" s="674" t="str">
        <f t="shared" si="11"/>
        <v/>
      </c>
      <c r="U189" s="1297" t="str">
        <f>IFERROR(($E189*(VLOOKUP($C189&amp;"|"&amp;$D189,'Carbon factors'!$D$7:$H$361,3,0))),"")</f>
        <v/>
      </c>
      <c r="V189" s="183" t="str">
        <f>IFERROR(($E189*(VLOOKUP($C189&amp;"|"&amp;$D189,'Carbon factors'!$D$7:$H$361,4,0))),"")</f>
        <v/>
      </c>
      <c r="W189" s="1296" t="str">
        <f>IFERROR(($E189*(VLOOKUP($C189&amp;"|"&amp;$D189,'Carbon factors'!$D$7:$H$361,5,0))),"")</f>
        <v/>
      </c>
      <c r="Z189" s="598" t="str">
        <f t="shared" si="12"/>
        <v>Scope 3</v>
      </c>
      <c r="AA189" s="599" t="str">
        <f t="shared" si="13"/>
        <v>Scope 3</v>
      </c>
    </row>
    <row r="190" spans="1:27" x14ac:dyDescent="0.35">
      <c r="A190" s="1810"/>
      <c r="B190" s="898"/>
      <c r="C190" s="579"/>
      <c r="D190" s="577"/>
      <c r="E190" s="577"/>
      <c r="F190" s="186"/>
      <c r="G190" s="664" t="str" cm="1">
        <f t="array" ref="G190">IFERROR((_xlfn.IFS(F190=$AC$15,"3",F190=$AC$16,"2",F190=$AC$17,"1",F190=$AC$18,"1"))*E190,"")</f>
        <v/>
      </c>
      <c r="H190" s="168"/>
      <c r="I190" s="186"/>
      <c r="J190" s="183" t="str">
        <f>IFERROR(H190/VLOOKUP(I190,'$ Conversion'!$A$9:$B$40,2,0),"")</f>
        <v/>
      </c>
      <c r="K190" s="1438"/>
      <c r="L190" s="179" t="str">
        <f>IFERROR(VLOOKUP(B190,Buildings!$B$9:$H$41,3,0),"")</f>
        <v/>
      </c>
      <c r="M190" s="210" t="str">
        <f>IFERROR(VLOOKUP(B190,Buildings!$B$9:$H$41,7,0),"")</f>
        <v/>
      </c>
      <c r="N190" s="1553" t="str">
        <f>IFERROR(VLOOKUP($C190&amp;"|"&amp;$D190,'Carbon factors'!$D$7:$E$361,2,0)*(IF(K190="",1,(1-K190))),"")</f>
        <v/>
      </c>
      <c r="O190" s="501" t="str">
        <f t="shared" si="10"/>
        <v/>
      </c>
      <c r="P190" s="179" t="str" cm="1">
        <f t="array" ref="P190">IFERROR(_xlfn.IFS(L190="unknown","Manually Select Scope -&gt;",M190="unknown","Manually Select Scope -&gt;",Z190&lt;&gt;AA190,"Scope 1"),"Scope 1")</f>
        <v>Scope 1</v>
      </c>
      <c r="Q190" s="1236"/>
      <c r="R190" s="674" t="str">
        <f t="shared" si="11"/>
        <v/>
      </c>
      <c r="U190" s="1297" t="str">
        <f>IFERROR(($E190*(VLOOKUP($C190&amp;"|"&amp;$D190,'Carbon factors'!$D$7:$H$361,3,0))),"")</f>
        <v/>
      </c>
      <c r="V190" s="183" t="str">
        <f>IFERROR(($E190*(VLOOKUP($C190&amp;"|"&amp;$D190,'Carbon factors'!$D$7:$H$361,4,0))),"")</f>
        <v/>
      </c>
      <c r="W190" s="1296" t="str">
        <f>IFERROR(($E190*(VLOOKUP($C190&amp;"|"&amp;$D190,'Carbon factors'!$D$7:$H$361,5,0))),"")</f>
        <v/>
      </c>
      <c r="Z190" s="598" t="str">
        <f t="shared" si="12"/>
        <v>Scope 3</v>
      </c>
      <c r="AA190" s="599" t="str">
        <f t="shared" si="13"/>
        <v>Scope 3</v>
      </c>
    </row>
    <row r="191" spans="1:27" x14ac:dyDescent="0.35">
      <c r="A191" s="1810"/>
      <c r="B191" s="898"/>
      <c r="C191" s="579"/>
      <c r="D191" s="577"/>
      <c r="E191" s="577"/>
      <c r="F191" s="186"/>
      <c r="G191" s="664" t="str" cm="1">
        <f t="array" ref="G191">IFERROR((_xlfn.IFS(F191=$AC$15,"3",F191=$AC$16,"2",F191=$AC$17,"1",F191=$AC$18,"1"))*E191,"")</f>
        <v/>
      </c>
      <c r="H191" s="168"/>
      <c r="I191" s="186"/>
      <c r="J191" s="183" t="str">
        <f>IFERROR(H191/VLOOKUP(I191,'$ Conversion'!$A$9:$B$40,2,0),"")</f>
        <v/>
      </c>
      <c r="K191" s="1438"/>
      <c r="L191" s="179" t="str">
        <f>IFERROR(VLOOKUP(B191,Buildings!$B$9:$H$41,3,0),"")</f>
        <v/>
      </c>
      <c r="M191" s="210" t="str">
        <f>IFERROR(VLOOKUP(B191,Buildings!$B$9:$H$41,7,0),"")</f>
        <v/>
      </c>
      <c r="N191" s="1553" t="str">
        <f>IFERROR(VLOOKUP($C191&amp;"|"&amp;$D191,'Carbon factors'!$D$7:$E$361,2,0)*(IF(K191="",1,(1-K191))),"")</f>
        <v/>
      </c>
      <c r="O191" s="501" t="str">
        <f t="shared" si="10"/>
        <v/>
      </c>
      <c r="P191" s="179" t="str" cm="1">
        <f t="array" ref="P191">IFERROR(_xlfn.IFS(L191="unknown","Manually Select Scope -&gt;",M191="unknown","Manually Select Scope -&gt;",Z191&lt;&gt;AA191,"Scope 1"),"Scope 1")</f>
        <v>Scope 1</v>
      </c>
      <c r="Q191" s="1236"/>
      <c r="R191" s="674" t="str">
        <f t="shared" si="11"/>
        <v/>
      </c>
      <c r="U191" s="1297" t="str">
        <f>IFERROR(($E191*(VLOOKUP($C191&amp;"|"&amp;$D191,'Carbon factors'!$D$7:$H$361,3,0))),"")</f>
        <v/>
      </c>
      <c r="V191" s="183" t="str">
        <f>IFERROR(($E191*(VLOOKUP($C191&amp;"|"&amp;$D191,'Carbon factors'!$D$7:$H$361,4,0))),"")</f>
        <v/>
      </c>
      <c r="W191" s="1296" t="str">
        <f>IFERROR(($E191*(VLOOKUP($C191&amp;"|"&amp;$D191,'Carbon factors'!$D$7:$H$361,5,0))),"")</f>
        <v/>
      </c>
      <c r="Z191" s="598" t="str">
        <f t="shared" si="12"/>
        <v>Scope 3</v>
      </c>
      <c r="AA191" s="599" t="str">
        <f t="shared" si="13"/>
        <v>Scope 3</v>
      </c>
    </row>
    <row r="192" spans="1:27" x14ac:dyDescent="0.35">
      <c r="A192" s="1810"/>
      <c r="B192" s="898"/>
      <c r="C192" s="579"/>
      <c r="D192" s="577"/>
      <c r="E192" s="577"/>
      <c r="F192" s="186"/>
      <c r="G192" s="664" t="str" cm="1">
        <f t="array" ref="G192">IFERROR((_xlfn.IFS(F192=$AC$15,"3",F192=$AC$16,"2",F192=$AC$17,"1",F192=$AC$18,"1"))*E192,"")</f>
        <v/>
      </c>
      <c r="H192" s="168"/>
      <c r="I192" s="186"/>
      <c r="J192" s="183" t="str">
        <f>IFERROR(H192/VLOOKUP(I192,'$ Conversion'!$A$9:$B$40,2,0),"")</f>
        <v/>
      </c>
      <c r="K192" s="1438"/>
      <c r="L192" s="179" t="str">
        <f>IFERROR(VLOOKUP(B192,Buildings!$B$9:$H$41,3,0),"")</f>
        <v/>
      </c>
      <c r="M192" s="210" t="str">
        <f>IFERROR(VLOOKUP(B192,Buildings!$B$9:$H$41,7,0),"")</f>
        <v/>
      </c>
      <c r="N192" s="1553" t="str">
        <f>IFERROR(VLOOKUP($C192&amp;"|"&amp;$D192,'Carbon factors'!$D$7:$E$361,2,0)*(IF(K192="",1,(1-K192))),"")</f>
        <v/>
      </c>
      <c r="O192" s="501" t="str">
        <f t="shared" si="10"/>
        <v/>
      </c>
      <c r="P192" s="179" t="str" cm="1">
        <f t="array" ref="P192">IFERROR(_xlfn.IFS(L192="unknown","Manually Select Scope -&gt;",M192="unknown","Manually Select Scope -&gt;",Z192&lt;&gt;AA192,"Scope 1"),"Scope 1")</f>
        <v>Scope 1</v>
      </c>
      <c r="Q192" s="1236"/>
      <c r="R192" s="674" t="str">
        <f t="shared" si="11"/>
        <v/>
      </c>
      <c r="U192" s="1297" t="str">
        <f>IFERROR(($E192*(VLOOKUP($C192&amp;"|"&amp;$D192,'Carbon factors'!$D$7:$H$361,3,0))),"")</f>
        <v/>
      </c>
      <c r="V192" s="183" t="str">
        <f>IFERROR(($E192*(VLOOKUP($C192&amp;"|"&amp;$D192,'Carbon factors'!$D$7:$H$361,4,0))),"")</f>
        <v/>
      </c>
      <c r="W192" s="1296" t="str">
        <f>IFERROR(($E192*(VLOOKUP($C192&amp;"|"&amp;$D192,'Carbon factors'!$D$7:$H$361,5,0))),"")</f>
        <v/>
      </c>
      <c r="Z192" s="598" t="str">
        <f t="shared" si="12"/>
        <v>Scope 3</v>
      </c>
      <c r="AA192" s="599" t="str">
        <f t="shared" si="13"/>
        <v>Scope 3</v>
      </c>
    </row>
    <row r="193" spans="1:33" x14ac:dyDescent="0.35">
      <c r="A193" s="1810"/>
      <c r="B193" s="898"/>
      <c r="C193" s="579"/>
      <c r="D193" s="577"/>
      <c r="E193" s="577"/>
      <c r="F193" s="186"/>
      <c r="G193" s="664" t="str" cm="1">
        <f t="array" ref="G193">IFERROR((_xlfn.IFS(F193=$AC$15,"3",F193=$AC$16,"2",F193=$AC$17,"1",F193=$AC$18,"1"))*E193,"")</f>
        <v/>
      </c>
      <c r="H193" s="168"/>
      <c r="I193" s="186"/>
      <c r="J193" s="183" t="str">
        <f>IFERROR(H193/VLOOKUP(I193,'$ Conversion'!$A$9:$B$40,2,0),"")</f>
        <v/>
      </c>
      <c r="K193" s="1252"/>
      <c r="L193" s="179" t="str">
        <f>IFERROR(VLOOKUP(B193,Buildings!$B$9:$H$41,3,0),"")</f>
        <v/>
      </c>
      <c r="M193" s="210" t="str">
        <f>IFERROR(VLOOKUP(B193,Buildings!$B$9:$H$41,7,0),"")</f>
        <v/>
      </c>
      <c r="N193" s="1553" t="str">
        <f>IFERROR(VLOOKUP($C193&amp;"|"&amp;$D193,'Carbon factors'!$D$7:$E$361,2,0)*(IF(K193="",1,(1-K193))),"")</f>
        <v/>
      </c>
      <c r="O193" s="501" t="str">
        <f t="shared" si="10"/>
        <v/>
      </c>
      <c r="P193" s="179" t="str" cm="1">
        <f t="array" ref="P193">IFERROR(_xlfn.IFS(L193="unknown","Manually Select Scope -&gt;",M193="unknown","Manually Select Scope -&gt;",Z193&lt;&gt;AA193,"Scope 1"),"Scope 1")</f>
        <v>Scope 1</v>
      </c>
      <c r="Q193" s="1236"/>
      <c r="R193" s="674" t="str">
        <f t="shared" si="11"/>
        <v/>
      </c>
      <c r="U193" s="1297" t="str">
        <f>IFERROR(($E193*(VLOOKUP($C193&amp;"|"&amp;$D193,'Carbon factors'!$D$7:$H$361,3,0))),"")</f>
        <v/>
      </c>
      <c r="V193" s="183" t="str">
        <f>IFERROR(($E193*(VLOOKUP($C193&amp;"|"&amp;$D193,'Carbon factors'!$D$7:$H$361,4,0))),"")</f>
        <v/>
      </c>
      <c r="W193" s="1296" t="str">
        <f>IFERROR(($E193*(VLOOKUP($C193&amp;"|"&amp;$D193,'Carbon factors'!$D$7:$H$361,5,0))),"")</f>
        <v/>
      </c>
      <c r="Z193" s="598" t="str">
        <f t="shared" si="12"/>
        <v>Scope 3</v>
      </c>
      <c r="AA193" s="599" t="str">
        <f t="shared" si="13"/>
        <v>Scope 3</v>
      </c>
    </row>
    <row r="194" spans="1:33" x14ac:dyDescent="0.35">
      <c r="A194" s="1810"/>
      <c r="B194" s="898"/>
      <c r="C194" s="579"/>
      <c r="D194" s="577"/>
      <c r="E194" s="577"/>
      <c r="F194" s="186"/>
      <c r="G194" s="664" t="str" cm="1">
        <f t="array" ref="G194">IFERROR((_xlfn.IFS(F194=$AC$15,"3",F194=$AC$16,"2",F194=$AC$17,"1",F194=$AC$18,"1"))*E194,"")</f>
        <v/>
      </c>
      <c r="H194" s="168"/>
      <c r="I194" s="186"/>
      <c r="J194" s="183" t="str">
        <f>IFERROR(H194/VLOOKUP(I194,'$ Conversion'!$A$9:$B$40,2,0),"")</f>
        <v/>
      </c>
      <c r="K194" s="1252"/>
      <c r="L194" s="179" t="str">
        <f>IFERROR(VLOOKUP(B194,Buildings!$B$9:$H$41,3,0),"")</f>
        <v/>
      </c>
      <c r="M194" s="210" t="str">
        <f>IFERROR(VLOOKUP(B194,Buildings!$B$9:$H$41,7,0),"")</f>
        <v/>
      </c>
      <c r="N194" s="1553" t="str">
        <f>IFERROR(VLOOKUP($C194&amp;"|"&amp;$D194,'Carbon factors'!$D$7:$E$361,2,0)*(IF(K194="",1,(1-K194))),"")</f>
        <v/>
      </c>
      <c r="O194" s="501" t="str">
        <f t="shared" si="10"/>
        <v/>
      </c>
      <c r="P194" s="179" t="str" cm="1">
        <f t="array" ref="P194">IFERROR(_xlfn.IFS(L194="unknown","Manually Select Scope -&gt;",M194="unknown","Manually Select Scope -&gt;",Z194&lt;&gt;AA194,"Scope 1"),"Scope 1")</f>
        <v>Scope 1</v>
      </c>
      <c r="Q194" s="1236"/>
      <c r="R194" s="674" t="str">
        <f t="shared" si="11"/>
        <v/>
      </c>
      <c r="U194" s="1297" t="str">
        <f>IFERROR(($E194*(VLOOKUP($C194&amp;"|"&amp;$D194,'Carbon factors'!$D$7:$H$361,3,0))),"")</f>
        <v/>
      </c>
      <c r="V194" s="183" t="str">
        <f>IFERROR(($E194*(VLOOKUP($C194&amp;"|"&amp;$D194,'Carbon factors'!$D$7:$H$361,4,0))),"")</f>
        <v/>
      </c>
      <c r="W194" s="1296" t="str">
        <f>IFERROR(($E194*(VLOOKUP($C194&amp;"|"&amp;$D194,'Carbon factors'!$D$7:$H$361,5,0))),"")</f>
        <v/>
      </c>
      <c r="Z194" s="598" t="str">
        <f t="shared" si="12"/>
        <v>Scope 3</v>
      </c>
      <c r="AA194" s="599" t="str">
        <f t="shared" si="13"/>
        <v>Scope 3</v>
      </c>
    </row>
    <row r="195" spans="1:33" x14ac:dyDescent="0.35">
      <c r="A195" s="1810"/>
      <c r="B195" s="898"/>
      <c r="C195" s="579"/>
      <c r="D195" s="577"/>
      <c r="E195" s="577"/>
      <c r="F195" s="186"/>
      <c r="G195" s="664" t="str" cm="1">
        <f t="array" ref="G195">IFERROR((_xlfn.IFS(F195=$AC$15,"3",F195=$AC$16,"2",F195=$AC$17,"1",F195=$AC$18,"1"))*E195,"")</f>
        <v/>
      </c>
      <c r="H195" s="168"/>
      <c r="I195" s="186"/>
      <c r="J195" s="183" t="str">
        <f>IFERROR(H195/VLOOKUP(I195,'$ Conversion'!$A$9:$B$40,2,0),"")</f>
        <v/>
      </c>
      <c r="K195" s="1252"/>
      <c r="L195" s="179" t="str">
        <f>IFERROR(VLOOKUP(B195,Buildings!$B$9:$H$41,3,0),"")</f>
        <v/>
      </c>
      <c r="M195" s="210" t="str">
        <f>IFERROR(VLOOKUP(B195,Buildings!$B$9:$H$41,7,0),"")</f>
        <v/>
      </c>
      <c r="N195" s="1553" t="str">
        <f>IFERROR(VLOOKUP($C195&amp;"|"&amp;$D195,'Carbon factors'!$D$7:$E$361,2,0)*(IF(K195="",1,(1-K195))),"")</f>
        <v/>
      </c>
      <c r="O195" s="501" t="str">
        <f t="shared" si="10"/>
        <v/>
      </c>
      <c r="P195" s="179" t="str" cm="1">
        <f t="array" ref="P195">IFERROR(_xlfn.IFS(L195="unknown","Manually Select Scope -&gt;",M195="unknown","Manually Select Scope -&gt;",Z195&lt;&gt;AA195,"Scope 1"),"Scope 1")</f>
        <v>Scope 1</v>
      </c>
      <c r="Q195" s="1236"/>
      <c r="R195" s="674" t="str">
        <f t="shared" si="11"/>
        <v/>
      </c>
      <c r="U195" s="1297" t="str">
        <f>IFERROR(($E195*(VLOOKUP($C195&amp;"|"&amp;$D195,'Carbon factors'!$D$7:$H$361,3,0))),"")</f>
        <v/>
      </c>
      <c r="V195" s="183" t="str">
        <f>IFERROR(($E195*(VLOOKUP($C195&amp;"|"&amp;$D195,'Carbon factors'!$D$7:$H$361,4,0))),"")</f>
        <v/>
      </c>
      <c r="W195" s="1296" t="str">
        <f>IFERROR(($E195*(VLOOKUP($C195&amp;"|"&amp;$D195,'Carbon factors'!$D$7:$H$361,5,0))),"")</f>
        <v/>
      </c>
      <c r="Z195" s="598" t="str">
        <f t="shared" si="12"/>
        <v>Scope 3</v>
      </c>
      <c r="AA195" s="599" t="str">
        <f t="shared" si="13"/>
        <v>Scope 3</v>
      </c>
    </row>
    <row r="196" spans="1:33" x14ac:dyDescent="0.35">
      <c r="A196" s="1810"/>
      <c r="B196" s="898"/>
      <c r="C196" s="579"/>
      <c r="D196" s="577"/>
      <c r="E196" s="577"/>
      <c r="F196" s="186"/>
      <c r="G196" s="664" t="str" cm="1">
        <f t="array" ref="G196">IFERROR((_xlfn.IFS(F196=$AC$15,"3",F196=$AC$16,"2",F196=$AC$17,"1",F196=$AC$18,"1"))*E196,"")</f>
        <v/>
      </c>
      <c r="H196" s="168"/>
      <c r="I196" s="186"/>
      <c r="J196" s="183" t="str">
        <f>IFERROR(H196/VLOOKUP(I196,'$ Conversion'!$A$9:$B$40,2,0),"")</f>
        <v/>
      </c>
      <c r="K196" s="1252"/>
      <c r="L196" s="179" t="str">
        <f>IFERROR(VLOOKUP(B196,Buildings!$B$9:$H$41,3,0),"")</f>
        <v/>
      </c>
      <c r="M196" s="210" t="str">
        <f>IFERROR(VLOOKUP(B196,Buildings!$B$9:$H$41,7,0),"")</f>
        <v/>
      </c>
      <c r="N196" s="1553" t="str">
        <f>IFERROR(VLOOKUP($C196&amp;"|"&amp;$D196,'Carbon factors'!$D$7:$E$361,2,0)*(IF(K196="",1,(1-K196))),"")</f>
        <v/>
      </c>
      <c r="O196" s="501" t="str">
        <f t="shared" si="10"/>
        <v/>
      </c>
      <c r="P196" s="179" t="str" cm="1">
        <f t="array" ref="P196">IFERROR(_xlfn.IFS(L196="unknown","Manually Select Scope -&gt;",M196="unknown","Manually Select Scope -&gt;",Z196&lt;&gt;AA196,"Scope 1"),"Scope 1")</f>
        <v>Scope 1</v>
      </c>
      <c r="Q196" s="1236"/>
      <c r="R196" s="674" t="str">
        <f t="shared" si="11"/>
        <v/>
      </c>
      <c r="U196" s="1297" t="str">
        <f>IFERROR(($E196*(VLOOKUP($C196&amp;"|"&amp;$D196,'Carbon factors'!$D$7:$H$361,3,0))),"")</f>
        <v/>
      </c>
      <c r="V196" s="183" t="str">
        <f>IFERROR(($E196*(VLOOKUP($C196&amp;"|"&amp;$D196,'Carbon factors'!$D$7:$H$361,4,0))),"")</f>
        <v/>
      </c>
      <c r="W196" s="1296" t="str">
        <f>IFERROR(($E196*(VLOOKUP($C196&amp;"|"&amp;$D196,'Carbon factors'!$D$7:$H$361,5,0))),"")</f>
        <v/>
      </c>
      <c r="Z196" s="598" t="str">
        <f t="shared" si="12"/>
        <v>Scope 3</v>
      </c>
      <c r="AA196" s="599" t="str">
        <f t="shared" si="13"/>
        <v>Scope 3</v>
      </c>
    </row>
    <row r="197" spans="1:33" x14ac:dyDescent="0.35">
      <c r="A197" s="1810"/>
      <c r="B197" s="898"/>
      <c r="C197" s="579"/>
      <c r="D197" s="577"/>
      <c r="E197" s="577"/>
      <c r="F197" s="186"/>
      <c r="G197" s="664" t="str" cm="1">
        <f t="array" ref="G197">IFERROR((_xlfn.IFS(F197=$AC$15,"3",F197=$AC$16,"2",F197=$AC$17,"1",F197=$AC$18,"1"))*E197,"")</f>
        <v/>
      </c>
      <c r="H197" s="168"/>
      <c r="I197" s="186"/>
      <c r="J197" s="183" t="str">
        <f>IFERROR(H197/VLOOKUP(I197,'$ Conversion'!$A$9:$B$40,2,0),"")</f>
        <v/>
      </c>
      <c r="K197" s="1252"/>
      <c r="L197" s="179" t="str">
        <f>IFERROR(VLOOKUP(B197,Buildings!$B$9:$H$41,3,0),"")</f>
        <v/>
      </c>
      <c r="M197" s="210" t="str">
        <f>IFERROR(VLOOKUP(B197,Buildings!$B$9:$H$41,7,0),"")</f>
        <v/>
      </c>
      <c r="N197" s="1553" t="str">
        <f>IFERROR(VLOOKUP($C197&amp;"|"&amp;$D197,'Carbon factors'!$D$7:$E$361,2,0)*(IF(K197="",1,(1-K197))),"")</f>
        <v/>
      </c>
      <c r="O197" s="501" t="str">
        <f t="shared" si="10"/>
        <v/>
      </c>
      <c r="P197" s="179" t="str" cm="1">
        <f t="array" ref="P197">IFERROR(_xlfn.IFS(L197="unknown","Manually Select Scope -&gt;",M197="unknown","Manually Select Scope -&gt;",Z197&lt;&gt;AA197,"Scope 1"),"Scope 1")</f>
        <v>Scope 1</v>
      </c>
      <c r="Q197" s="1236"/>
      <c r="R197" s="674" t="str">
        <f t="shared" si="11"/>
        <v/>
      </c>
      <c r="U197" s="1297" t="str">
        <f>IFERROR(($E197*(VLOOKUP($C197&amp;"|"&amp;$D197,'Carbon factors'!$D$7:$H$361,3,0))),"")</f>
        <v/>
      </c>
      <c r="V197" s="183" t="str">
        <f>IFERROR(($E197*(VLOOKUP($C197&amp;"|"&amp;$D197,'Carbon factors'!$D$7:$H$361,4,0))),"")</f>
        <v/>
      </c>
      <c r="W197" s="1296" t="str">
        <f>IFERROR(($E197*(VLOOKUP($C197&amp;"|"&amp;$D197,'Carbon factors'!$D$7:$H$361,5,0))),"")</f>
        <v/>
      </c>
      <c r="Z197" s="598" t="str">
        <f t="shared" si="12"/>
        <v>Scope 3</v>
      </c>
      <c r="AA197" s="599" t="str">
        <f t="shared" si="13"/>
        <v>Scope 3</v>
      </c>
    </row>
    <row r="198" spans="1:33" x14ac:dyDescent="0.35">
      <c r="A198" s="1810"/>
      <c r="B198" s="898"/>
      <c r="C198" s="579"/>
      <c r="D198" s="577"/>
      <c r="E198" s="577"/>
      <c r="F198" s="186"/>
      <c r="G198" s="664" t="str" cm="1">
        <f t="array" ref="G198">IFERROR((_xlfn.IFS(F198=$AC$15,"3",F198=$AC$16,"2",F198=$AC$17,"1",F198=$AC$18,"1"))*E198,"")</f>
        <v/>
      </c>
      <c r="H198" s="168"/>
      <c r="I198" s="186"/>
      <c r="J198" s="183" t="str">
        <f>IFERROR(H198/VLOOKUP(I198,'$ Conversion'!$A$9:$B$40,2,0),"")</f>
        <v/>
      </c>
      <c r="K198" s="1252"/>
      <c r="L198" s="179" t="str">
        <f>IFERROR(VLOOKUP(B198,Buildings!$B$9:$H$41,3,0),"")</f>
        <v/>
      </c>
      <c r="M198" s="210" t="str">
        <f>IFERROR(VLOOKUP(B198,Buildings!$B$9:$H$41,7,0),"")</f>
        <v/>
      </c>
      <c r="N198" s="1553" t="str">
        <f>IFERROR(VLOOKUP($C198&amp;"|"&amp;$D198,'Carbon factors'!$D$7:$E$361,2,0)*(IF(K198="",1,(1-K198))),"")</f>
        <v/>
      </c>
      <c r="O198" s="501" t="str">
        <f t="shared" si="10"/>
        <v/>
      </c>
      <c r="P198" s="179" t="str" cm="1">
        <f t="array" ref="P198">IFERROR(_xlfn.IFS(L198="unknown","Manually Select Scope -&gt;",M198="unknown","Manually Select Scope -&gt;",Z198&lt;&gt;AA198,"Scope 1"),"Scope 1")</f>
        <v>Scope 1</v>
      </c>
      <c r="Q198" s="1236"/>
      <c r="R198" s="674" t="str">
        <f t="shared" si="11"/>
        <v/>
      </c>
      <c r="U198" s="1297" t="str">
        <f>IFERROR(($E198*(VLOOKUP($C198&amp;"|"&amp;$D198,'Carbon factors'!$D$7:$H$361,3,0))),"")</f>
        <v/>
      </c>
      <c r="V198" s="183" t="str">
        <f>IFERROR(($E198*(VLOOKUP($C198&amp;"|"&amp;$D198,'Carbon factors'!$D$7:$H$361,4,0))),"")</f>
        <v/>
      </c>
      <c r="W198" s="1296" t="str">
        <f>IFERROR(($E198*(VLOOKUP($C198&amp;"|"&amp;$D198,'Carbon factors'!$D$7:$H$361,5,0))),"")</f>
        <v/>
      </c>
      <c r="Z198" s="598" t="str">
        <f t="shared" si="12"/>
        <v>Scope 3</v>
      </c>
      <c r="AA198" s="599" t="str">
        <f t="shared" si="13"/>
        <v>Scope 3</v>
      </c>
    </row>
    <row r="199" spans="1:33" x14ac:dyDescent="0.35">
      <c r="A199" s="1810"/>
      <c r="B199" s="898"/>
      <c r="C199" s="579"/>
      <c r="D199" s="577"/>
      <c r="E199" s="577"/>
      <c r="F199" s="186"/>
      <c r="G199" s="664" t="str" cm="1">
        <f t="array" ref="G199">IFERROR((_xlfn.IFS(F199=$AC$15,"3",F199=$AC$16,"2",F199=$AC$17,"1",F199=$AC$18,"1"))*E199,"")</f>
        <v/>
      </c>
      <c r="H199" s="168"/>
      <c r="I199" s="186"/>
      <c r="J199" s="183" t="str">
        <f>IFERROR(H199/VLOOKUP(I199,'$ Conversion'!$A$9:$B$40,2,0),"")</f>
        <v/>
      </c>
      <c r="K199" s="1252"/>
      <c r="L199" s="179" t="str">
        <f>IFERROR(VLOOKUP(B199,Buildings!$B$9:$H$41,3,0),"")</f>
        <v/>
      </c>
      <c r="M199" s="210" t="str">
        <f>IFERROR(VLOOKUP(B199,Buildings!$B$9:$H$41,7,0),"")</f>
        <v/>
      </c>
      <c r="N199" s="1553" t="str">
        <f>IFERROR(VLOOKUP($C199&amp;"|"&amp;$D199,'Carbon factors'!$D$7:$E$361,2,0)*(IF(K199="",1,(1-K199))),"")</f>
        <v/>
      </c>
      <c r="O199" s="501" t="str">
        <f t="shared" si="10"/>
        <v/>
      </c>
      <c r="P199" s="179" t="str" cm="1">
        <f t="array" ref="P199">IFERROR(_xlfn.IFS(L199="unknown","Manually Select Scope -&gt;",M199="unknown","Manually Select Scope -&gt;",Z199&lt;&gt;AA199,"Scope 1"),"Scope 1")</f>
        <v>Scope 1</v>
      </c>
      <c r="Q199" s="1236"/>
      <c r="R199" s="674" t="str">
        <f t="shared" si="11"/>
        <v/>
      </c>
      <c r="U199" s="1297" t="str">
        <f>IFERROR(($E199*(VLOOKUP($C199&amp;"|"&amp;$D199,'Carbon factors'!$D$7:$H$361,3,0))),"")</f>
        <v/>
      </c>
      <c r="V199" s="183" t="str">
        <f>IFERROR(($E199*(VLOOKUP($C199&amp;"|"&amp;$D199,'Carbon factors'!$D$7:$H$361,4,0))),"")</f>
        <v/>
      </c>
      <c r="W199" s="1296" t="str">
        <f>IFERROR(($E199*(VLOOKUP($C199&amp;"|"&amp;$D199,'Carbon factors'!$D$7:$H$361,5,0))),"")</f>
        <v/>
      </c>
      <c r="Z199" s="598" t="str">
        <f t="shared" si="12"/>
        <v>Scope 3</v>
      </c>
      <c r="AA199" s="599" t="str">
        <f t="shared" si="13"/>
        <v>Scope 3</v>
      </c>
    </row>
    <row r="200" spans="1:33" x14ac:dyDescent="0.35">
      <c r="A200" s="1810"/>
      <c r="B200" s="898"/>
      <c r="C200" s="579"/>
      <c r="D200" s="577"/>
      <c r="E200" s="577"/>
      <c r="F200" s="186"/>
      <c r="G200" s="664" t="str" cm="1">
        <f t="array" ref="G200">IFERROR((_xlfn.IFS(F200=$AC$15,"3",F200=$AC$16,"2",F200=$AC$17,"1",F200=$AC$18,"1"))*E200,"")</f>
        <v/>
      </c>
      <c r="H200" s="168"/>
      <c r="I200" s="186"/>
      <c r="J200" s="183" t="str">
        <f>IFERROR(H200/VLOOKUP(I200,'$ Conversion'!$A$9:$B$40,2,0),"")</f>
        <v/>
      </c>
      <c r="K200" s="1252"/>
      <c r="L200" s="179" t="str">
        <f>IFERROR(VLOOKUP(B200,Buildings!$B$9:$H$41,3,0),"")</f>
        <v/>
      </c>
      <c r="M200" s="210" t="str">
        <f>IFERROR(VLOOKUP(B200,Buildings!$B$9:$H$41,7,0),"")</f>
        <v/>
      </c>
      <c r="N200" s="1553" t="str">
        <f>IFERROR(VLOOKUP($C200&amp;"|"&amp;$D200,'Carbon factors'!$D$7:$E$361,2,0)*(IF(K200="",1,(1-K200))),"")</f>
        <v/>
      </c>
      <c r="O200" s="501" t="str">
        <f t="shared" si="10"/>
        <v/>
      </c>
      <c r="P200" s="179" t="str" cm="1">
        <f t="array" ref="P200">IFERROR(_xlfn.IFS(L200="unknown","Manually Select Scope -&gt;",M200="unknown","Manually Select Scope -&gt;",Z200&lt;&gt;AA200,"Scope 1"),"Scope 1")</f>
        <v>Scope 1</v>
      </c>
      <c r="Q200" s="1236"/>
      <c r="R200" s="674" t="str">
        <f t="shared" si="11"/>
        <v/>
      </c>
      <c r="U200" s="1297" t="str">
        <f>IFERROR(($E200*(VLOOKUP($C200&amp;"|"&amp;$D200,'Carbon factors'!$D$7:$H$361,3,0))),"")</f>
        <v/>
      </c>
      <c r="V200" s="183" t="str">
        <f>IFERROR(($E200*(VLOOKUP($C200&amp;"|"&amp;$D200,'Carbon factors'!$D$7:$H$361,4,0))),"")</f>
        <v/>
      </c>
      <c r="W200" s="1296" t="str">
        <f>IFERROR(($E200*(VLOOKUP($C200&amp;"|"&amp;$D200,'Carbon factors'!$D$7:$H$361,5,0))),"")</f>
        <v/>
      </c>
      <c r="Z200" s="598" t="str">
        <f t="shared" si="12"/>
        <v>Scope 3</v>
      </c>
      <c r="AA200" s="599" t="str">
        <f t="shared" si="13"/>
        <v>Scope 3</v>
      </c>
    </row>
    <row r="201" spans="1:33" x14ac:dyDescent="0.35">
      <c r="A201" s="1810"/>
      <c r="B201" s="898"/>
      <c r="C201" s="579"/>
      <c r="D201" s="577"/>
      <c r="E201" s="577"/>
      <c r="F201" s="186"/>
      <c r="G201" s="664" t="str" cm="1">
        <f t="array" ref="G201">IFERROR((_xlfn.IFS(F201=$AC$15,"3",F201=$AC$16,"2",F201=$AC$17,"1",F201=$AC$18,"1"))*E201,"")</f>
        <v/>
      </c>
      <c r="H201" s="168"/>
      <c r="I201" s="186"/>
      <c r="J201" s="183" t="str">
        <f>IFERROR(H201/VLOOKUP(I201,'$ Conversion'!$A$9:$B$40,2,0),"")</f>
        <v/>
      </c>
      <c r="K201" s="1252"/>
      <c r="L201" s="179" t="str">
        <f>IFERROR(VLOOKUP(B201,Buildings!$B$9:$H$41,3,0),"")</f>
        <v/>
      </c>
      <c r="M201" s="210" t="str">
        <f>IFERROR(VLOOKUP(B201,Buildings!$B$9:$H$41,7,0),"")</f>
        <v/>
      </c>
      <c r="N201" s="1553" t="str">
        <f>IFERROR(VLOOKUP($C201&amp;"|"&amp;$D201,'Carbon factors'!$D$7:$E$361,2,0)*(IF(K201="",1,(1-K201))),"")</f>
        <v/>
      </c>
      <c r="O201" s="501" t="str">
        <f t="shared" si="10"/>
        <v/>
      </c>
      <c r="P201" s="179" t="str" cm="1">
        <f t="array" ref="P201">IFERROR(_xlfn.IFS(L201="unknown","Manually Select Scope -&gt;",M201="unknown","Manually Select Scope -&gt;",Z201&lt;&gt;AA201,"Scope 1"),"Scope 1")</f>
        <v>Scope 1</v>
      </c>
      <c r="Q201" s="1236"/>
      <c r="R201" s="674" t="str">
        <f t="shared" si="11"/>
        <v/>
      </c>
      <c r="U201" s="1297" t="str">
        <f>IFERROR(($E201*(VLOOKUP($C201&amp;"|"&amp;$D201,'Carbon factors'!$D$7:$H$361,3,0))),"")</f>
        <v/>
      </c>
      <c r="V201" s="183" t="str">
        <f>IFERROR(($E201*(VLOOKUP($C201&amp;"|"&amp;$D201,'Carbon factors'!$D$7:$H$361,4,0))),"")</f>
        <v/>
      </c>
      <c r="W201" s="1296" t="str">
        <f>IFERROR(($E201*(VLOOKUP($C201&amp;"|"&amp;$D201,'Carbon factors'!$D$7:$H$361,5,0))),"")</f>
        <v/>
      </c>
      <c r="Z201" s="598" t="str">
        <f t="shared" si="12"/>
        <v>Scope 3</v>
      </c>
      <c r="AA201" s="599" t="str">
        <f t="shared" si="13"/>
        <v>Scope 3</v>
      </c>
    </row>
    <row r="202" spans="1:33" x14ac:dyDescent="0.35">
      <c r="A202" s="1810"/>
      <c r="B202" s="898"/>
      <c r="C202" s="579"/>
      <c r="D202" s="577"/>
      <c r="E202" s="577"/>
      <c r="F202" s="186"/>
      <c r="G202" s="664" t="str" cm="1">
        <f t="array" ref="G202">IFERROR((_xlfn.IFS(F202=$AC$15,"3",F202=$AC$16,"2",F202=$AC$17,"1",F202=$AC$18,"1"))*E202,"")</f>
        <v/>
      </c>
      <c r="H202" s="168"/>
      <c r="I202" s="186"/>
      <c r="J202" s="183" t="str">
        <f>IFERROR(H202/VLOOKUP(I202,'$ Conversion'!$A$9:$B$40,2,0),"")</f>
        <v/>
      </c>
      <c r="K202" s="1252"/>
      <c r="L202" s="179" t="str">
        <f>IFERROR(VLOOKUP(B202,Buildings!$B$9:$H$41,3,0),"")</f>
        <v/>
      </c>
      <c r="M202" s="210" t="str">
        <f>IFERROR(VLOOKUP(B202,Buildings!$B$9:$H$41,7,0),"")</f>
        <v/>
      </c>
      <c r="N202" s="1553" t="str">
        <f>IFERROR(VLOOKUP($C202&amp;"|"&amp;$D202,'Carbon factors'!$D$7:$E$361,2,0)*(IF(K202="",1,(1-K202))),"")</f>
        <v/>
      </c>
      <c r="O202" s="501" t="str">
        <f t="shared" si="10"/>
        <v/>
      </c>
      <c r="P202" s="179" t="str" cm="1">
        <f t="array" ref="P202">IFERROR(_xlfn.IFS(L202="unknown","Manually Select Scope -&gt;",M202="unknown","Manually Select Scope -&gt;",Z202&lt;&gt;AA202,"Scope 1"),"Scope 1")</f>
        <v>Scope 1</v>
      </c>
      <c r="Q202" s="1236"/>
      <c r="R202" s="674" t="str">
        <f t="shared" si="11"/>
        <v/>
      </c>
      <c r="U202" s="1297" t="str">
        <f>IFERROR(($E202*(VLOOKUP($C202&amp;"|"&amp;$D202,'Carbon factors'!$D$7:$H$361,3,0))),"")</f>
        <v/>
      </c>
      <c r="V202" s="183" t="str">
        <f>IFERROR(($E202*(VLOOKUP($C202&amp;"|"&amp;$D202,'Carbon factors'!$D$7:$H$361,4,0))),"")</f>
        <v/>
      </c>
      <c r="W202" s="1296" t="str">
        <f>IFERROR(($E202*(VLOOKUP($C202&amp;"|"&amp;$D202,'Carbon factors'!$D$7:$H$361,5,0))),"")</f>
        <v/>
      </c>
      <c r="Z202" s="598" t="str">
        <f t="shared" si="12"/>
        <v>Scope 3</v>
      </c>
      <c r="AA202" s="599" t="str">
        <f t="shared" si="13"/>
        <v>Scope 3</v>
      </c>
    </row>
    <row r="203" spans="1:33" x14ac:dyDescent="0.35">
      <c r="A203" s="1810"/>
      <c r="B203" s="898"/>
      <c r="C203" s="579"/>
      <c r="D203" s="577"/>
      <c r="E203" s="577"/>
      <c r="F203" s="186"/>
      <c r="G203" s="664" t="str" cm="1">
        <f t="array" ref="G203">IFERROR((_xlfn.IFS(F203=$AC$15,"3",F203=$AC$16,"2",F203=$AC$17,"1",F203=$AC$18,"1"))*E203,"")</f>
        <v/>
      </c>
      <c r="H203" s="168"/>
      <c r="I203" s="186"/>
      <c r="J203" s="183" t="str">
        <f>IFERROR(H203/VLOOKUP(I203,'$ Conversion'!$A$9:$B$40,2,0),"")</f>
        <v/>
      </c>
      <c r="K203" s="1252"/>
      <c r="L203" s="179" t="str">
        <f>IFERROR(VLOOKUP(B203,Buildings!$B$9:$H$41,3,0),"")</f>
        <v/>
      </c>
      <c r="M203" s="210" t="str">
        <f>IFERROR(VLOOKUP(B203,Buildings!$B$9:$H$41,7,0),"")</f>
        <v/>
      </c>
      <c r="N203" s="1553" t="str">
        <f>IFERROR(VLOOKUP($C203&amp;"|"&amp;$D203,'Carbon factors'!$D$7:$E$361,2,0)*(IF(K203="",1,(1-K203))),"")</f>
        <v/>
      </c>
      <c r="O203" s="501" t="str">
        <f t="shared" si="10"/>
        <v/>
      </c>
      <c r="P203" s="179" t="str" cm="1">
        <f t="array" ref="P203">IFERROR(_xlfn.IFS(L203="unknown","Manually Select Scope -&gt;",M203="unknown","Manually Select Scope -&gt;",Z203&lt;&gt;AA203,"Scope 1"),"Scope 1")</f>
        <v>Scope 1</v>
      </c>
      <c r="Q203" s="1236"/>
      <c r="R203" s="674" t="str">
        <f t="shared" si="11"/>
        <v/>
      </c>
      <c r="U203" s="1297" t="str">
        <f>IFERROR(($E203*(VLOOKUP($C203&amp;"|"&amp;$D203,'Carbon factors'!$D$7:$H$361,3,0))),"")</f>
        <v/>
      </c>
      <c r="V203" s="183" t="str">
        <f>IFERROR(($E203*(VLOOKUP($C203&amp;"|"&amp;$D203,'Carbon factors'!$D$7:$H$361,4,0))),"")</f>
        <v/>
      </c>
      <c r="W203" s="1296" t="str">
        <f>IFERROR(($E203*(VLOOKUP($C203&amp;"|"&amp;$D203,'Carbon factors'!$D$7:$H$361,5,0))),"")</f>
        <v/>
      </c>
      <c r="Z203" s="598" t="str">
        <f t="shared" si="12"/>
        <v>Scope 3</v>
      </c>
      <c r="AA203" s="599" t="str">
        <f t="shared" si="13"/>
        <v>Scope 3</v>
      </c>
    </row>
    <row r="204" spans="1:33" x14ac:dyDescent="0.35">
      <c r="A204" s="1810"/>
      <c r="B204" s="898"/>
      <c r="C204" s="579"/>
      <c r="D204" s="577"/>
      <c r="E204" s="577"/>
      <c r="F204" s="186"/>
      <c r="G204" s="664" t="str" cm="1">
        <f t="array" ref="G204">IFERROR((_xlfn.IFS(F204=$AC$15,"3",F204=$AC$16,"2",F204=$AC$17,"1",F204=$AC$18,"1"))*E204,"")</f>
        <v/>
      </c>
      <c r="H204" s="168"/>
      <c r="I204" s="186"/>
      <c r="J204" s="183" t="str">
        <f>IFERROR(H204/VLOOKUP(I204,'$ Conversion'!$A$9:$B$40,2,0),"")</f>
        <v/>
      </c>
      <c r="K204" s="1252"/>
      <c r="L204" s="179" t="str">
        <f>IFERROR(VLOOKUP(B204,Buildings!$B$9:$H$41,3,0),"")</f>
        <v/>
      </c>
      <c r="M204" s="210" t="str">
        <f>IFERROR(VLOOKUP(B204,Buildings!$B$9:$H$41,7,0),"")</f>
        <v/>
      </c>
      <c r="N204" s="1553" t="str">
        <f>IFERROR(VLOOKUP($C204&amp;"|"&amp;$D204,'Carbon factors'!$D$7:$E$361,2,0)*(IF(K204="",1,(1-K204))),"")</f>
        <v/>
      </c>
      <c r="O204" s="501" t="str">
        <f t="shared" si="10"/>
        <v/>
      </c>
      <c r="P204" s="179" t="str" cm="1">
        <f t="array" ref="P204">IFERROR(_xlfn.IFS(L204="unknown","Manually Select Scope -&gt;",M204="unknown","Manually Select Scope -&gt;",Z204&lt;&gt;AA204,"Scope 1"),"Scope 1")</f>
        <v>Scope 1</v>
      </c>
      <c r="Q204" s="1236"/>
      <c r="R204" s="674" t="str">
        <f t="shared" si="11"/>
        <v/>
      </c>
      <c r="U204" s="1297" t="str">
        <f>IFERROR(($E204*(VLOOKUP($C204&amp;"|"&amp;$D204,'Carbon factors'!$D$7:$H$361,3,0))),"")</f>
        <v/>
      </c>
      <c r="V204" s="183" t="str">
        <f>IFERROR(($E204*(VLOOKUP($C204&amp;"|"&amp;$D204,'Carbon factors'!$D$7:$H$361,4,0))),"")</f>
        <v/>
      </c>
      <c r="W204" s="1296" t="str">
        <f>IFERROR(($E204*(VLOOKUP($C204&amp;"|"&amp;$D204,'Carbon factors'!$D$7:$H$361,5,0))),"")</f>
        <v/>
      </c>
      <c r="Z204" s="598" t="str">
        <f t="shared" si="12"/>
        <v>Scope 3</v>
      </c>
      <c r="AA204" s="599" t="str">
        <f t="shared" si="13"/>
        <v>Scope 3</v>
      </c>
    </row>
    <row r="205" spans="1:33" x14ac:dyDescent="0.35">
      <c r="A205" s="1810"/>
      <c r="B205" s="898"/>
      <c r="C205" s="579"/>
      <c r="D205" s="577"/>
      <c r="E205" s="577"/>
      <c r="F205" s="186"/>
      <c r="G205" s="664" t="str" cm="1">
        <f t="array" ref="G205">IFERROR((_xlfn.IFS(F205=$AC$15,"3",F205=$AC$16,"2",F205=$AC$17,"1",F205=$AC$18,"1"))*E205,"")</f>
        <v/>
      </c>
      <c r="H205" s="168"/>
      <c r="I205" s="186"/>
      <c r="J205" s="183" t="str">
        <f>IFERROR(H205/VLOOKUP(I205,'$ Conversion'!$A$9:$B$40,2,0),"")</f>
        <v/>
      </c>
      <c r="K205" s="1252"/>
      <c r="L205" s="179" t="str">
        <f>IFERROR(VLOOKUP(B205,Buildings!$B$9:$H$41,3,0),"")</f>
        <v/>
      </c>
      <c r="M205" s="210" t="str">
        <f>IFERROR(VLOOKUP(B205,Buildings!$B$9:$H$41,7,0),"")</f>
        <v/>
      </c>
      <c r="N205" s="1553" t="str">
        <f>IFERROR(VLOOKUP($C205&amp;"|"&amp;$D205,'Carbon factors'!$D$7:$E$361,2,0)*(IF(K205="",1,(1-K205))),"")</f>
        <v/>
      </c>
      <c r="O205" s="501" t="str">
        <f t="shared" si="10"/>
        <v/>
      </c>
      <c r="P205" s="179" t="str" cm="1">
        <f t="array" ref="P205">IFERROR(_xlfn.IFS(L205="unknown","Manually Select Scope -&gt;",M205="unknown","Manually Select Scope -&gt;",Z205&lt;&gt;AA205,"Scope 1"),"Scope 1")</f>
        <v>Scope 1</v>
      </c>
      <c r="Q205" s="1236"/>
      <c r="R205" s="674" t="str">
        <f t="shared" si="11"/>
        <v/>
      </c>
      <c r="U205" s="1297" t="str">
        <f>IFERROR(($E205*(VLOOKUP($C205&amp;"|"&amp;$D205,'Carbon factors'!$D$7:$H$361,3,0))),"")</f>
        <v/>
      </c>
      <c r="V205" s="183" t="str">
        <f>IFERROR(($E205*(VLOOKUP($C205&amp;"|"&amp;$D205,'Carbon factors'!$D$7:$H$361,4,0))),"")</f>
        <v/>
      </c>
      <c r="W205" s="1296" t="str">
        <f>IFERROR(($E205*(VLOOKUP($C205&amp;"|"&amp;$D205,'Carbon factors'!$D$7:$H$361,5,0))),"")</f>
        <v/>
      </c>
      <c r="Z205" s="598" t="str">
        <f t="shared" si="12"/>
        <v>Scope 3</v>
      </c>
      <c r="AA205" s="599" t="str">
        <f t="shared" si="13"/>
        <v>Scope 3</v>
      </c>
    </row>
    <row r="206" spans="1:33" x14ac:dyDescent="0.35">
      <c r="A206" s="1810"/>
      <c r="B206" s="898"/>
      <c r="C206" s="579"/>
      <c r="D206" s="577"/>
      <c r="E206" s="577"/>
      <c r="F206" s="186"/>
      <c r="G206" s="664" t="str" cm="1">
        <f t="array" ref="G206">IFERROR((_xlfn.IFS(F206=$AC$15,"3",F206=$AC$16,"2",F206=$AC$17,"1",F206=$AC$18,"1"))*E206,"")</f>
        <v/>
      </c>
      <c r="H206" s="168"/>
      <c r="I206" s="186"/>
      <c r="J206" s="183" t="str">
        <f>IFERROR(H206/VLOOKUP(I206,'$ Conversion'!$A$9:$B$40,2,0),"")</f>
        <v/>
      </c>
      <c r="K206" s="1252"/>
      <c r="L206" s="179" t="str">
        <f>IFERROR(VLOOKUP(B206,Buildings!$B$9:$H$41,3,0),"")</f>
        <v/>
      </c>
      <c r="M206" s="210" t="str">
        <f>IFERROR(VLOOKUP(B206,Buildings!$B$9:$H$41,7,0),"")</f>
        <v/>
      </c>
      <c r="N206" s="1553" t="str">
        <f>IFERROR(VLOOKUP($C206&amp;"|"&amp;$D206,'Carbon factors'!$D$7:$E$361,2,0)*(IF(K206="",1,(1-K206))),"")</f>
        <v/>
      </c>
      <c r="O206" s="501" t="str">
        <f t="shared" si="10"/>
        <v/>
      </c>
      <c r="P206" s="179" t="str" cm="1">
        <f t="array" ref="P206">IFERROR(_xlfn.IFS(L206="unknown","Manually Select Scope -&gt;",M206="unknown","Manually Select Scope -&gt;",Z206&lt;&gt;AA206,"Scope 1"),"Scope 1")</f>
        <v>Scope 1</v>
      </c>
      <c r="Q206" s="1236"/>
      <c r="R206" s="674" t="str">
        <f t="shared" si="11"/>
        <v/>
      </c>
      <c r="U206" s="1297" t="str">
        <f>IFERROR(($E206*(VLOOKUP($C206&amp;"|"&amp;$D206,'Carbon factors'!$D$7:$H$361,3,0))),"")</f>
        <v/>
      </c>
      <c r="V206" s="183" t="str">
        <f>IFERROR(($E206*(VLOOKUP($C206&amp;"|"&amp;$D206,'Carbon factors'!$D$7:$H$361,4,0))),"")</f>
        <v/>
      </c>
      <c r="W206" s="1296" t="str">
        <f>IFERROR(($E206*(VLOOKUP($C206&amp;"|"&amp;$D206,'Carbon factors'!$D$7:$H$361,5,0))),"")</f>
        <v/>
      </c>
      <c r="Z206" s="598" t="str">
        <f t="shared" si="12"/>
        <v>Scope 3</v>
      </c>
      <c r="AA206" s="599" t="str">
        <f t="shared" si="13"/>
        <v>Scope 3</v>
      </c>
    </row>
    <row r="207" spans="1:33" x14ac:dyDescent="0.35">
      <c r="A207" s="1810"/>
      <c r="B207" s="898"/>
      <c r="C207" s="579"/>
      <c r="D207" s="577"/>
      <c r="E207" s="577"/>
      <c r="F207" s="186"/>
      <c r="G207" s="664" t="str" cm="1">
        <f t="array" ref="G207">IFERROR((_xlfn.IFS(F207=$AC$15,"3",F207=$AC$16,"2",F207=$AC$17,"1",F207=$AC$18,"1"))*E207,"")</f>
        <v/>
      </c>
      <c r="H207" s="168"/>
      <c r="I207" s="186"/>
      <c r="J207" s="183" t="str">
        <f>IFERROR(H207/VLOOKUP(I207,'$ Conversion'!$A$9:$B$40,2,0),"")</f>
        <v/>
      </c>
      <c r="K207" s="1252"/>
      <c r="L207" s="179" t="str">
        <f>IFERROR(VLOOKUP(B207,Buildings!$B$9:$H$41,3,0),"")</f>
        <v/>
      </c>
      <c r="M207" s="210" t="str">
        <f>IFERROR(VLOOKUP(B207,Buildings!$B$9:$H$41,7,0),"")</f>
        <v/>
      </c>
      <c r="N207" s="1553" t="str">
        <f>IFERROR(VLOOKUP($C207&amp;"|"&amp;$D207,'Carbon factors'!$D$7:$E$361,2,0)*(IF(K207="",1,(1-K207))),"")</f>
        <v/>
      </c>
      <c r="O207" s="501" t="str">
        <f t="shared" si="10"/>
        <v/>
      </c>
      <c r="P207" s="179" t="str" cm="1">
        <f t="array" ref="P207">IFERROR(_xlfn.IFS(L207="unknown","Manually Select Scope -&gt;",M207="unknown","Manually Select Scope -&gt;",Z207&lt;&gt;AA207,"Scope 1"),"Scope 1")</f>
        <v>Scope 1</v>
      </c>
      <c r="Q207" s="1236"/>
      <c r="R207" s="674" t="str">
        <f t="shared" si="11"/>
        <v/>
      </c>
      <c r="U207" s="1297" t="str">
        <f>IFERROR(($E207*(VLOOKUP($C207&amp;"|"&amp;$D207,'Carbon factors'!$D$7:$H$361,3,0))),"")</f>
        <v/>
      </c>
      <c r="V207" s="183" t="str">
        <f>IFERROR(($E207*(VLOOKUP($C207&amp;"|"&amp;$D207,'Carbon factors'!$D$7:$H$361,4,0))),"")</f>
        <v/>
      </c>
      <c r="W207" s="1296" t="str">
        <f>IFERROR(($E207*(VLOOKUP($C207&amp;"|"&amp;$D207,'Carbon factors'!$D$7:$H$361,5,0))),"")</f>
        <v/>
      </c>
      <c r="Z207" s="598" t="str">
        <f t="shared" si="12"/>
        <v>Scope 3</v>
      </c>
      <c r="AA207" s="599" t="str">
        <f t="shared" si="13"/>
        <v>Scope 3</v>
      </c>
      <c r="AG207" s="597"/>
    </row>
    <row r="208" spans="1:33" x14ac:dyDescent="0.35">
      <c r="A208" s="1810"/>
      <c r="B208" s="898"/>
      <c r="C208" s="579"/>
      <c r="D208" s="577"/>
      <c r="E208" s="577"/>
      <c r="F208" s="186"/>
      <c r="G208" s="664" t="str" cm="1">
        <f t="array" ref="G208">IFERROR((_xlfn.IFS(F208=$AC$15,"3",F208=$AC$16,"2",F208=$AC$17,"1",F208=$AC$18,"1"))*E208,"")</f>
        <v/>
      </c>
      <c r="H208" s="168"/>
      <c r="I208" s="186"/>
      <c r="J208" s="183" t="str">
        <f>IFERROR(H208/VLOOKUP(I208,'$ Conversion'!$A$9:$B$40,2,0),"")</f>
        <v/>
      </c>
      <c r="K208" s="1252"/>
      <c r="L208" s="179" t="str">
        <f>IFERROR(VLOOKUP(B208,Buildings!$B$9:$H$41,3,0),"")</f>
        <v/>
      </c>
      <c r="M208" s="210" t="str">
        <f>IFERROR(VLOOKUP(B208,Buildings!$B$9:$H$41,7,0),"")</f>
        <v/>
      </c>
      <c r="N208" s="1553" t="str">
        <f>IFERROR(VLOOKUP($C208&amp;"|"&amp;$D208,'Carbon factors'!$D$7:$E$361,2,0)*(IF(K208="",1,(1-K208))),"")</f>
        <v/>
      </c>
      <c r="O208" s="501" t="str">
        <f t="shared" si="10"/>
        <v/>
      </c>
      <c r="P208" s="179" t="str" cm="1">
        <f t="array" ref="P208">IFERROR(_xlfn.IFS(L208="unknown","Manually Select Scope -&gt;",M208="unknown","Manually Select Scope -&gt;",Z208&lt;&gt;AA208,"Scope 1"),"Scope 1")</f>
        <v>Scope 1</v>
      </c>
      <c r="Q208" s="1236"/>
      <c r="R208" s="674" t="str">
        <f t="shared" si="11"/>
        <v/>
      </c>
      <c r="U208" s="1297" t="str">
        <f>IFERROR(($E208*(VLOOKUP($C208&amp;"|"&amp;$D208,'Carbon factors'!$D$7:$H$361,3,0))),"")</f>
        <v/>
      </c>
      <c r="V208" s="183" t="str">
        <f>IFERROR(($E208*(VLOOKUP($C208&amp;"|"&amp;$D208,'Carbon factors'!$D$7:$H$361,4,0))),"")</f>
        <v/>
      </c>
      <c r="W208" s="1296" t="str">
        <f>IFERROR(($E208*(VLOOKUP($C208&amp;"|"&amp;$D208,'Carbon factors'!$D$7:$H$361,5,0))),"")</f>
        <v/>
      </c>
      <c r="Z208" s="598" t="str">
        <f t="shared" si="12"/>
        <v>Scope 3</v>
      </c>
      <c r="AA208" s="599" t="str">
        <f t="shared" si="13"/>
        <v>Scope 3</v>
      </c>
      <c r="AB208" s="6"/>
      <c r="AG208" s="597"/>
    </row>
    <row r="209" spans="1:27" x14ac:dyDescent="0.35">
      <c r="A209" s="1810"/>
      <c r="B209" s="898"/>
      <c r="C209" s="579"/>
      <c r="D209" s="577"/>
      <c r="E209" s="577"/>
      <c r="F209" s="186"/>
      <c r="G209" s="664" t="str" cm="1">
        <f t="array" ref="G209">IFERROR((_xlfn.IFS(F209=$AC$15,"3",F209=$AC$16,"2",F209=$AC$17,"1",F209=$AC$18,"1"))*E209,"")</f>
        <v/>
      </c>
      <c r="H209" s="168"/>
      <c r="I209" s="186"/>
      <c r="J209" s="183" t="str">
        <f>IFERROR(H209/VLOOKUP(I209,'$ Conversion'!$A$9:$B$40,2,0),"")</f>
        <v/>
      </c>
      <c r="K209" s="1252"/>
      <c r="L209" s="179" t="str">
        <f>IFERROR(VLOOKUP(B209,Buildings!$B$9:$H$41,3,0),"")</f>
        <v/>
      </c>
      <c r="M209" s="210" t="str">
        <f>IFERROR(VLOOKUP(B209,Buildings!$B$9:$H$41,7,0),"")</f>
        <v/>
      </c>
      <c r="N209" s="1553" t="str">
        <f>IFERROR(VLOOKUP($C209&amp;"|"&amp;$D209,'Carbon factors'!$D$7:$E$361,2,0)*(IF(K209="",1,(1-K209))),"")</f>
        <v/>
      </c>
      <c r="O209" s="501" t="str">
        <f t="shared" ref="O209:O226" si="14">IFERROR(E209*N209,"")</f>
        <v/>
      </c>
      <c r="P209" s="179" t="str" cm="1">
        <f t="array" ref="P209">IFERROR(_xlfn.IFS(L209="unknown","Manually Select Scope -&gt;",M209="unknown","Manually Select Scope -&gt;",Z209&lt;&gt;AA209,"Scope 1"),"Scope 1")</f>
        <v>Scope 1</v>
      </c>
      <c r="Q209" s="1236"/>
      <c r="R209" s="674" t="str">
        <f t="shared" ref="R209:R226" si="15">IFERROR((J209*E209),"")</f>
        <v/>
      </c>
      <c r="U209" s="1297" t="str">
        <f>IFERROR(($E209*(VLOOKUP($C209&amp;"|"&amp;$D209,'Carbon factors'!$D$7:$H$361,3,0))),"")</f>
        <v/>
      </c>
      <c r="V209" s="183" t="str">
        <f>IFERROR(($E209*(VLOOKUP($C209&amp;"|"&amp;$D209,'Carbon factors'!$D$7:$H$361,4,0))),"")</f>
        <v/>
      </c>
      <c r="W209" s="1296" t="str">
        <f>IFERROR(($E209*(VLOOKUP($C209&amp;"|"&amp;$D209,'Carbon factors'!$D$7:$H$361,5,0))),"")</f>
        <v/>
      </c>
      <c r="Z209" s="598" t="str">
        <f t="shared" ref="Z209:Z226" si="16">IF(AND(M209="Y",OR(C209="Generator Petrol",C209="Generator Diesel or Gas oil")),"Scope 1","Scope 3")</f>
        <v>Scope 3</v>
      </c>
      <c r="AA209" s="599" t="str">
        <f t="shared" ref="AA209:AA226" si="17">IF(AND(L209="Y",OR(C209="Non-Generator Petrol",C209="Non-Generator Diesel or Gas oil",C209="Kerosene or Burning oil",C209="Fuel oil or Heavy oil",C209="Waste oils",C209="Biodiesel",C209="Bioethanol",C209="Other liquid fuel")),"Scope 1","Scope 3")</f>
        <v>Scope 3</v>
      </c>
    </row>
    <row r="210" spans="1:27" x14ac:dyDescent="0.35">
      <c r="A210" s="1810"/>
      <c r="B210" s="898"/>
      <c r="C210" s="579"/>
      <c r="D210" s="577"/>
      <c r="E210" s="577"/>
      <c r="F210" s="186"/>
      <c r="G210" s="664" t="str" cm="1">
        <f t="array" ref="G210">IFERROR((_xlfn.IFS(F210=$AC$15,"3",F210=$AC$16,"2",F210=$AC$17,"1",F210=$AC$18,"1"))*E210,"")</f>
        <v/>
      </c>
      <c r="H210" s="168"/>
      <c r="I210" s="186"/>
      <c r="J210" s="183" t="str">
        <f>IFERROR(H210/VLOOKUP(I210,'$ Conversion'!$A$9:$B$40,2,0),"")</f>
        <v/>
      </c>
      <c r="K210" s="1252"/>
      <c r="L210" s="179" t="str">
        <f>IFERROR(VLOOKUP(B210,Buildings!$B$9:$H$41,3,0),"")</f>
        <v/>
      </c>
      <c r="M210" s="210" t="str">
        <f>IFERROR(VLOOKUP(B210,Buildings!$B$9:$H$41,7,0),"")</f>
        <v/>
      </c>
      <c r="N210" s="1553" t="str">
        <f>IFERROR(VLOOKUP($C210&amp;"|"&amp;$D210,'Carbon factors'!$D$7:$E$361,2,0)*(IF(K210="",1,(1-K210))),"")</f>
        <v/>
      </c>
      <c r="O210" s="501" t="str">
        <f t="shared" si="14"/>
        <v/>
      </c>
      <c r="P210" s="179" t="str" cm="1">
        <f t="array" ref="P210">IFERROR(_xlfn.IFS(L210="unknown","Manually Select Scope -&gt;",M210="unknown","Manually Select Scope -&gt;",Z210&lt;&gt;AA210,"Scope 1"),"Scope 1")</f>
        <v>Scope 1</v>
      </c>
      <c r="Q210" s="1236"/>
      <c r="R210" s="674" t="str">
        <f t="shared" si="15"/>
        <v/>
      </c>
      <c r="U210" s="1297" t="str">
        <f>IFERROR(($E210*(VLOOKUP($C210&amp;"|"&amp;$D210,'Carbon factors'!$D$7:$H$361,3,0))),"")</f>
        <v/>
      </c>
      <c r="V210" s="183" t="str">
        <f>IFERROR(($E210*(VLOOKUP($C210&amp;"|"&amp;$D210,'Carbon factors'!$D$7:$H$361,4,0))),"")</f>
        <v/>
      </c>
      <c r="W210" s="1296" t="str">
        <f>IFERROR(($E210*(VLOOKUP($C210&amp;"|"&amp;$D210,'Carbon factors'!$D$7:$H$361,5,0))),"")</f>
        <v/>
      </c>
      <c r="Z210" s="598" t="str">
        <f t="shared" si="16"/>
        <v>Scope 3</v>
      </c>
      <c r="AA210" s="599" t="str">
        <f t="shared" si="17"/>
        <v>Scope 3</v>
      </c>
    </row>
    <row r="211" spans="1:27" x14ac:dyDescent="0.35">
      <c r="A211" s="1810"/>
      <c r="B211" s="898"/>
      <c r="C211" s="579"/>
      <c r="D211" s="577"/>
      <c r="E211" s="577"/>
      <c r="F211" s="186"/>
      <c r="G211" s="664" t="str" cm="1">
        <f t="array" ref="G211">IFERROR((_xlfn.IFS(F211=$AC$15,"3",F211=$AC$16,"2",F211=$AC$17,"1",F211=$AC$18,"1"))*E211,"")</f>
        <v/>
      </c>
      <c r="H211" s="168"/>
      <c r="I211" s="186"/>
      <c r="J211" s="183" t="str">
        <f>IFERROR(H211/VLOOKUP(I211,'$ Conversion'!$A$9:$B$40,2,0),"")</f>
        <v/>
      </c>
      <c r="K211" s="1252"/>
      <c r="L211" s="179" t="str">
        <f>IFERROR(VLOOKUP(B211,Buildings!$B$9:$H$41,3,0),"")</f>
        <v/>
      </c>
      <c r="M211" s="210" t="str">
        <f>IFERROR(VLOOKUP(B211,Buildings!$B$9:$H$41,7,0),"")</f>
        <v/>
      </c>
      <c r="N211" s="1553" t="str">
        <f>IFERROR(VLOOKUP($C211&amp;"|"&amp;$D211,'Carbon factors'!$D$7:$E$361,2,0)*(IF(K211="",1,(1-K211))),"")</f>
        <v/>
      </c>
      <c r="O211" s="501" t="str">
        <f t="shared" si="14"/>
        <v/>
      </c>
      <c r="P211" s="179" t="str" cm="1">
        <f t="array" ref="P211">IFERROR(_xlfn.IFS(L211="unknown","Manually Select Scope -&gt;",M211="unknown","Manually Select Scope -&gt;",Z211&lt;&gt;AA211,"Scope 1"),"Scope 1")</f>
        <v>Scope 1</v>
      </c>
      <c r="Q211" s="1236"/>
      <c r="R211" s="674" t="str">
        <f t="shared" si="15"/>
        <v/>
      </c>
      <c r="U211" s="1297" t="str">
        <f>IFERROR(($E211*(VLOOKUP($C211&amp;"|"&amp;$D211,'Carbon factors'!$D$7:$H$361,3,0))),"")</f>
        <v/>
      </c>
      <c r="V211" s="183" t="str">
        <f>IFERROR(($E211*(VLOOKUP($C211&amp;"|"&amp;$D211,'Carbon factors'!$D$7:$H$361,4,0))),"")</f>
        <v/>
      </c>
      <c r="W211" s="1296" t="str">
        <f>IFERROR(($E211*(VLOOKUP($C211&amp;"|"&amp;$D211,'Carbon factors'!$D$7:$H$361,5,0))),"")</f>
        <v/>
      </c>
      <c r="Z211" s="598" t="str">
        <f t="shared" si="16"/>
        <v>Scope 3</v>
      </c>
      <c r="AA211" s="599" t="str">
        <f t="shared" si="17"/>
        <v>Scope 3</v>
      </c>
    </row>
    <row r="212" spans="1:27" x14ac:dyDescent="0.35">
      <c r="A212" s="1810"/>
      <c r="B212" s="898"/>
      <c r="C212" s="579"/>
      <c r="D212" s="577"/>
      <c r="E212" s="577"/>
      <c r="F212" s="186"/>
      <c r="G212" s="664" t="str" cm="1">
        <f t="array" ref="G212">IFERROR((_xlfn.IFS(F212=$AC$15,"3",F212=$AC$16,"2",F212=$AC$17,"1",F212=$AC$18,"1"))*E212,"")</f>
        <v/>
      </c>
      <c r="H212" s="168"/>
      <c r="I212" s="186"/>
      <c r="J212" s="183" t="str">
        <f>IFERROR(H212/VLOOKUP(I212,'$ Conversion'!$A$9:$B$40,2,0),"")</f>
        <v/>
      </c>
      <c r="K212" s="1252"/>
      <c r="L212" s="179" t="str">
        <f>IFERROR(VLOOKUP(B212,Buildings!$B$9:$H$41,3,0),"")</f>
        <v/>
      </c>
      <c r="M212" s="210" t="str">
        <f>IFERROR(VLOOKUP(B212,Buildings!$B$9:$H$41,7,0),"")</f>
        <v/>
      </c>
      <c r="N212" s="1553" t="str">
        <f>IFERROR(VLOOKUP($C212&amp;"|"&amp;$D212,'Carbon factors'!$D$7:$E$361,2,0)*(IF(K212="",1,(1-K212))),"")</f>
        <v/>
      </c>
      <c r="O212" s="501" t="str">
        <f t="shared" si="14"/>
        <v/>
      </c>
      <c r="P212" s="179" t="str" cm="1">
        <f t="array" ref="P212">IFERROR(_xlfn.IFS(L212="unknown","Manually Select Scope -&gt;",M212="unknown","Manually Select Scope -&gt;",Z212&lt;&gt;AA212,"Scope 1"),"Scope 1")</f>
        <v>Scope 1</v>
      </c>
      <c r="Q212" s="1236"/>
      <c r="R212" s="674" t="str">
        <f t="shared" si="15"/>
        <v/>
      </c>
      <c r="U212" s="1297" t="str">
        <f>IFERROR(($E212*(VLOOKUP($C212&amp;"|"&amp;$D212,'Carbon factors'!$D$7:$H$361,3,0))),"")</f>
        <v/>
      </c>
      <c r="V212" s="183" t="str">
        <f>IFERROR(($E212*(VLOOKUP($C212&amp;"|"&amp;$D212,'Carbon factors'!$D$7:$H$361,4,0))),"")</f>
        <v/>
      </c>
      <c r="W212" s="1296" t="str">
        <f>IFERROR(($E212*(VLOOKUP($C212&amp;"|"&amp;$D212,'Carbon factors'!$D$7:$H$361,5,0))),"")</f>
        <v/>
      </c>
      <c r="Z212" s="598" t="str">
        <f t="shared" si="16"/>
        <v>Scope 3</v>
      </c>
      <c r="AA212" s="599" t="str">
        <f t="shared" si="17"/>
        <v>Scope 3</v>
      </c>
    </row>
    <row r="213" spans="1:27" x14ac:dyDescent="0.35">
      <c r="A213" s="1810"/>
      <c r="B213" s="898"/>
      <c r="C213" s="579"/>
      <c r="D213" s="577"/>
      <c r="E213" s="577"/>
      <c r="F213" s="186"/>
      <c r="G213" s="664" t="str" cm="1">
        <f t="array" ref="G213">IFERROR((_xlfn.IFS(F213=$AC$15,"3",F213=$AC$16,"2",F213=$AC$17,"1",F213=$AC$18,"1"))*E213,"")</f>
        <v/>
      </c>
      <c r="H213" s="168"/>
      <c r="I213" s="186"/>
      <c r="J213" s="183" t="str">
        <f>IFERROR(H213/VLOOKUP(I213,'$ Conversion'!$A$9:$B$40,2,0),"")</f>
        <v/>
      </c>
      <c r="K213" s="1252"/>
      <c r="L213" s="179" t="str">
        <f>IFERROR(VLOOKUP(B213,Buildings!$B$9:$H$41,3,0),"")</f>
        <v/>
      </c>
      <c r="M213" s="210" t="str">
        <f>IFERROR(VLOOKUP(B213,Buildings!$B$9:$H$41,7,0),"")</f>
        <v/>
      </c>
      <c r="N213" s="1553" t="str">
        <f>IFERROR(VLOOKUP($C213&amp;"|"&amp;$D213,'Carbon factors'!$D$7:$E$361,2,0)*(IF(K213="",1,(1-K213))),"")</f>
        <v/>
      </c>
      <c r="O213" s="501" t="str">
        <f t="shared" si="14"/>
        <v/>
      </c>
      <c r="P213" s="179" t="str" cm="1">
        <f t="array" ref="P213">IFERROR(_xlfn.IFS(L213="unknown","Manually Select Scope -&gt;",M213="unknown","Manually Select Scope -&gt;",Z213&lt;&gt;AA213,"Scope 1"),"Scope 1")</f>
        <v>Scope 1</v>
      </c>
      <c r="Q213" s="1236"/>
      <c r="R213" s="674" t="str">
        <f t="shared" si="15"/>
        <v/>
      </c>
      <c r="U213" s="1297" t="str">
        <f>IFERROR(($E213*(VLOOKUP($C213&amp;"|"&amp;$D213,'Carbon factors'!$D$7:$H$361,3,0))),"")</f>
        <v/>
      </c>
      <c r="V213" s="183" t="str">
        <f>IFERROR(($E213*(VLOOKUP($C213&amp;"|"&amp;$D213,'Carbon factors'!$D$7:$H$361,4,0))),"")</f>
        <v/>
      </c>
      <c r="W213" s="1296" t="str">
        <f>IFERROR(($E213*(VLOOKUP($C213&amp;"|"&amp;$D213,'Carbon factors'!$D$7:$H$361,5,0))),"")</f>
        <v/>
      </c>
      <c r="Z213" s="598" t="str">
        <f t="shared" si="16"/>
        <v>Scope 3</v>
      </c>
      <c r="AA213" s="599" t="str">
        <f t="shared" si="17"/>
        <v>Scope 3</v>
      </c>
    </row>
    <row r="214" spans="1:27" x14ac:dyDescent="0.35">
      <c r="A214" s="1810"/>
      <c r="B214" s="898"/>
      <c r="C214" s="579"/>
      <c r="D214" s="577"/>
      <c r="E214" s="577"/>
      <c r="F214" s="186"/>
      <c r="G214" s="664" t="str" cm="1">
        <f t="array" ref="G214">IFERROR((_xlfn.IFS(F214=$AC$15,"3",F214=$AC$16,"2",F214=$AC$17,"1",F214=$AC$18,"1"))*E214,"")</f>
        <v/>
      </c>
      <c r="H214" s="168"/>
      <c r="I214" s="186"/>
      <c r="J214" s="183" t="str">
        <f>IFERROR(H214/VLOOKUP(I214,'$ Conversion'!$A$9:$B$40,2,0),"")</f>
        <v/>
      </c>
      <c r="K214" s="1252"/>
      <c r="L214" s="179" t="str">
        <f>IFERROR(VLOOKUP(B214,Buildings!$B$9:$H$41,3,0),"")</f>
        <v/>
      </c>
      <c r="M214" s="210" t="str">
        <f>IFERROR(VLOOKUP(B214,Buildings!$B$9:$H$41,7,0),"")</f>
        <v/>
      </c>
      <c r="N214" s="1553" t="str">
        <f>IFERROR(VLOOKUP($C214&amp;"|"&amp;$D214,'Carbon factors'!$D$7:$E$361,2,0)*(IF(K214="",1,(1-K214))),"")</f>
        <v/>
      </c>
      <c r="O214" s="501" t="str">
        <f t="shared" si="14"/>
        <v/>
      </c>
      <c r="P214" s="179" t="str" cm="1">
        <f t="array" ref="P214">IFERROR(_xlfn.IFS(L214="unknown","Manually Select Scope -&gt;",M214="unknown","Manually Select Scope -&gt;",Z214&lt;&gt;AA214,"Scope 1"),"Scope 1")</f>
        <v>Scope 1</v>
      </c>
      <c r="Q214" s="1236"/>
      <c r="R214" s="674" t="str">
        <f t="shared" si="15"/>
        <v/>
      </c>
      <c r="U214" s="1297" t="str">
        <f>IFERROR(($E214*(VLOOKUP($C214&amp;"|"&amp;$D214,'Carbon factors'!$D$7:$H$361,3,0))),"")</f>
        <v/>
      </c>
      <c r="V214" s="183" t="str">
        <f>IFERROR(($E214*(VLOOKUP($C214&amp;"|"&amp;$D214,'Carbon factors'!$D$7:$H$361,4,0))),"")</f>
        <v/>
      </c>
      <c r="W214" s="1296" t="str">
        <f>IFERROR(($E214*(VLOOKUP($C214&amp;"|"&amp;$D214,'Carbon factors'!$D$7:$H$361,5,0))),"")</f>
        <v/>
      </c>
      <c r="Z214" s="598" t="str">
        <f t="shared" si="16"/>
        <v>Scope 3</v>
      </c>
      <c r="AA214" s="599" t="str">
        <f t="shared" si="17"/>
        <v>Scope 3</v>
      </c>
    </row>
    <row r="215" spans="1:27" x14ac:dyDescent="0.35">
      <c r="A215" s="1810"/>
      <c r="B215" s="898"/>
      <c r="C215" s="579"/>
      <c r="D215" s="577"/>
      <c r="E215" s="577"/>
      <c r="F215" s="186"/>
      <c r="G215" s="664" t="str" cm="1">
        <f t="array" ref="G215">IFERROR((_xlfn.IFS(F215=$AC$15,"3",F215=$AC$16,"2",F215=$AC$17,"1",F215=$AC$18,"1"))*E215,"")</f>
        <v/>
      </c>
      <c r="H215" s="168"/>
      <c r="I215" s="186"/>
      <c r="J215" s="183" t="str">
        <f>IFERROR(H215/VLOOKUP(I215,'$ Conversion'!$A$9:$B$40,2,0),"")</f>
        <v/>
      </c>
      <c r="K215" s="1252"/>
      <c r="L215" s="179" t="str">
        <f>IFERROR(VLOOKUP(B215,Buildings!$B$9:$H$41,3,0),"")</f>
        <v/>
      </c>
      <c r="M215" s="210" t="str">
        <f>IFERROR(VLOOKUP(B215,Buildings!$B$9:$H$41,7,0),"")</f>
        <v/>
      </c>
      <c r="N215" s="1553" t="str">
        <f>IFERROR(VLOOKUP($C215&amp;"|"&amp;$D215,'Carbon factors'!$D$7:$E$361,2,0)*(IF(K215="",1,(1-K215))),"")</f>
        <v/>
      </c>
      <c r="O215" s="501" t="str">
        <f t="shared" si="14"/>
        <v/>
      </c>
      <c r="P215" s="179" t="str" cm="1">
        <f t="array" ref="P215">IFERROR(_xlfn.IFS(L215="unknown","Manually Select Scope -&gt;",M215="unknown","Manually Select Scope -&gt;",Z215&lt;&gt;AA215,"Scope 1"),"Scope 1")</f>
        <v>Scope 1</v>
      </c>
      <c r="Q215" s="1236"/>
      <c r="R215" s="674" t="str">
        <f t="shared" si="15"/>
        <v/>
      </c>
      <c r="U215" s="1297" t="str">
        <f>IFERROR(($E215*(VLOOKUP($C215&amp;"|"&amp;$D215,'Carbon factors'!$D$7:$H$361,3,0))),"")</f>
        <v/>
      </c>
      <c r="V215" s="183" t="str">
        <f>IFERROR(($E215*(VLOOKUP($C215&amp;"|"&amp;$D215,'Carbon factors'!$D$7:$H$361,4,0))),"")</f>
        <v/>
      </c>
      <c r="W215" s="1296" t="str">
        <f>IFERROR(($E215*(VLOOKUP($C215&amp;"|"&amp;$D215,'Carbon factors'!$D$7:$H$361,5,0))),"")</f>
        <v/>
      </c>
      <c r="Z215" s="598" t="str">
        <f t="shared" si="16"/>
        <v>Scope 3</v>
      </c>
      <c r="AA215" s="599" t="str">
        <f t="shared" si="17"/>
        <v>Scope 3</v>
      </c>
    </row>
    <row r="216" spans="1:27" x14ac:dyDescent="0.35">
      <c r="A216" s="1810"/>
      <c r="B216" s="898"/>
      <c r="C216" s="579"/>
      <c r="D216" s="577"/>
      <c r="E216" s="577"/>
      <c r="F216" s="186"/>
      <c r="G216" s="664" t="str" cm="1">
        <f t="array" ref="G216">IFERROR((_xlfn.IFS(F216=$AC$15,"3",F216=$AC$16,"2",F216=$AC$17,"1",F216=$AC$18,"1"))*E216,"")</f>
        <v/>
      </c>
      <c r="H216" s="168"/>
      <c r="I216" s="186"/>
      <c r="J216" s="183" t="str">
        <f>IFERROR(H216/VLOOKUP(I216,'$ Conversion'!$A$9:$B$40,2,0),"")</f>
        <v/>
      </c>
      <c r="K216" s="1252"/>
      <c r="L216" s="179" t="str">
        <f>IFERROR(VLOOKUP(B216,Buildings!$B$9:$H$41,3,0),"")</f>
        <v/>
      </c>
      <c r="M216" s="210" t="str">
        <f>IFERROR(VLOOKUP(B216,Buildings!$B$9:$H$41,7,0),"")</f>
        <v/>
      </c>
      <c r="N216" s="1553" t="str">
        <f>IFERROR(VLOOKUP($C216&amp;"|"&amp;$D216,'Carbon factors'!$D$7:$E$361,2,0)*(IF(K216="",1,(1-K216))),"")</f>
        <v/>
      </c>
      <c r="O216" s="501" t="str">
        <f t="shared" si="14"/>
        <v/>
      </c>
      <c r="P216" s="179" t="str" cm="1">
        <f t="array" ref="P216">IFERROR(_xlfn.IFS(L216="unknown","Manually Select Scope -&gt;",M216="unknown","Manually Select Scope -&gt;",Z216&lt;&gt;AA216,"Scope 1"),"Scope 1")</f>
        <v>Scope 1</v>
      </c>
      <c r="Q216" s="1236"/>
      <c r="R216" s="674" t="str">
        <f t="shared" si="15"/>
        <v/>
      </c>
      <c r="U216" s="1297" t="str">
        <f>IFERROR(($E216*(VLOOKUP($C216&amp;"|"&amp;$D216,'Carbon factors'!$D$7:$H$361,3,0))),"")</f>
        <v/>
      </c>
      <c r="V216" s="183" t="str">
        <f>IFERROR(($E216*(VLOOKUP($C216&amp;"|"&amp;$D216,'Carbon factors'!$D$7:$H$361,4,0))),"")</f>
        <v/>
      </c>
      <c r="W216" s="1296" t="str">
        <f>IFERROR(($E216*(VLOOKUP($C216&amp;"|"&amp;$D216,'Carbon factors'!$D$7:$H$361,5,0))),"")</f>
        <v/>
      </c>
      <c r="Z216" s="598" t="str">
        <f t="shared" si="16"/>
        <v>Scope 3</v>
      </c>
      <c r="AA216" s="599" t="str">
        <f t="shared" si="17"/>
        <v>Scope 3</v>
      </c>
    </row>
    <row r="217" spans="1:27" x14ac:dyDescent="0.35">
      <c r="A217" s="1810"/>
      <c r="B217" s="898"/>
      <c r="C217" s="579"/>
      <c r="D217" s="577"/>
      <c r="E217" s="577"/>
      <c r="F217" s="186"/>
      <c r="G217" s="664" t="str" cm="1">
        <f t="array" ref="G217">IFERROR((_xlfn.IFS(F217=$AC$15,"3",F217=$AC$16,"2",F217=$AC$17,"1",F217=$AC$18,"1"))*E217,"")</f>
        <v/>
      </c>
      <c r="H217" s="168"/>
      <c r="I217" s="186"/>
      <c r="J217" s="183" t="str">
        <f>IFERROR(H217/VLOOKUP(I217,'$ Conversion'!$A$9:$B$40,2,0),"")</f>
        <v/>
      </c>
      <c r="K217" s="1252"/>
      <c r="L217" s="179" t="str">
        <f>IFERROR(VLOOKUP(B217,Buildings!$B$9:$H$41,3,0),"")</f>
        <v/>
      </c>
      <c r="M217" s="210" t="str">
        <f>IFERROR(VLOOKUP(B217,Buildings!$B$9:$H$41,7,0),"")</f>
        <v/>
      </c>
      <c r="N217" s="1553" t="str">
        <f>IFERROR(VLOOKUP($C217&amp;"|"&amp;$D217,'Carbon factors'!$D$7:$E$361,2,0)*(IF(K217="",1,(1-K217))),"")</f>
        <v/>
      </c>
      <c r="O217" s="501" t="str">
        <f t="shared" si="14"/>
        <v/>
      </c>
      <c r="P217" s="179" t="str" cm="1">
        <f t="array" ref="P217">IFERROR(_xlfn.IFS(L217="unknown","Manually Select Scope -&gt;",M217="unknown","Manually Select Scope -&gt;",Z217&lt;&gt;AA217,"Scope 1"),"Scope 1")</f>
        <v>Scope 1</v>
      </c>
      <c r="Q217" s="1236"/>
      <c r="R217" s="674" t="str">
        <f t="shared" si="15"/>
        <v/>
      </c>
      <c r="U217" s="1297" t="str">
        <f>IFERROR(($E217*(VLOOKUP($C217&amp;"|"&amp;$D217,'Carbon factors'!$D$7:$H$361,3,0))),"")</f>
        <v/>
      </c>
      <c r="V217" s="183" t="str">
        <f>IFERROR(($E217*(VLOOKUP($C217&amp;"|"&amp;$D217,'Carbon factors'!$D$7:$H$361,4,0))),"")</f>
        <v/>
      </c>
      <c r="W217" s="1296" t="str">
        <f>IFERROR(($E217*(VLOOKUP($C217&amp;"|"&amp;$D217,'Carbon factors'!$D$7:$H$361,5,0))),"")</f>
        <v/>
      </c>
      <c r="Z217" s="598" t="str">
        <f t="shared" si="16"/>
        <v>Scope 3</v>
      </c>
      <c r="AA217" s="599" t="str">
        <f t="shared" si="17"/>
        <v>Scope 3</v>
      </c>
    </row>
    <row r="218" spans="1:27" x14ac:dyDescent="0.35">
      <c r="A218" s="1810"/>
      <c r="B218" s="898"/>
      <c r="C218" s="579"/>
      <c r="D218" s="577"/>
      <c r="E218" s="577"/>
      <c r="F218" s="186"/>
      <c r="G218" s="664" t="str" cm="1">
        <f t="array" ref="G218">IFERROR((_xlfn.IFS(F218=$AC$15,"3",F218=$AC$16,"2",F218=$AC$17,"1",F218=$AC$18,"1"))*E218,"")</f>
        <v/>
      </c>
      <c r="H218" s="168"/>
      <c r="I218" s="186"/>
      <c r="J218" s="183" t="str">
        <f>IFERROR(H218/VLOOKUP(I218,'$ Conversion'!$A$9:$B$40,2,0),"")</f>
        <v/>
      </c>
      <c r="K218" s="1252"/>
      <c r="L218" s="179" t="str">
        <f>IFERROR(VLOOKUP(B218,Buildings!$B$9:$H$41,3,0),"")</f>
        <v/>
      </c>
      <c r="M218" s="210" t="str">
        <f>IFERROR(VLOOKUP(B218,Buildings!$B$9:$H$41,7,0),"")</f>
        <v/>
      </c>
      <c r="N218" s="1553" t="str">
        <f>IFERROR(VLOOKUP($C218&amp;"|"&amp;$D218,'Carbon factors'!$D$7:$E$361,2,0)*(IF(K218="",1,(1-K218))),"")</f>
        <v/>
      </c>
      <c r="O218" s="501" t="str">
        <f t="shared" si="14"/>
        <v/>
      </c>
      <c r="P218" s="179" t="str" cm="1">
        <f t="array" ref="P218">IFERROR(_xlfn.IFS(L218="unknown","Manually Select Scope -&gt;",M218="unknown","Manually Select Scope -&gt;",Z218&lt;&gt;AA218,"Scope 1"),"Scope 1")</f>
        <v>Scope 1</v>
      </c>
      <c r="Q218" s="1236"/>
      <c r="R218" s="674" t="str">
        <f t="shared" si="15"/>
        <v/>
      </c>
      <c r="U218" s="1297" t="str">
        <f>IFERROR(($E218*(VLOOKUP($C218&amp;"|"&amp;$D218,'Carbon factors'!$D$7:$H$361,3,0))),"")</f>
        <v/>
      </c>
      <c r="V218" s="183" t="str">
        <f>IFERROR(($E218*(VLOOKUP($C218&amp;"|"&amp;$D218,'Carbon factors'!$D$7:$H$361,4,0))),"")</f>
        <v/>
      </c>
      <c r="W218" s="1296" t="str">
        <f>IFERROR(($E218*(VLOOKUP($C218&amp;"|"&amp;$D218,'Carbon factors'!$D$7:$H$361,5,0))),"")</f>
        <v/>
      </c>
      <c r="Z218" s="598" t="str">
        <f t="shared" si="16"/>
        <v>Scope 3</v>
      </c>
      <c r="AA218" s="599" t="str">
        <f t="shared" si="17"/>
        <v>Scope 3</v>
      </c>
    </row>
    <row r="219" spans="1:27" x14ac:dyDescent="0.35">
      <c r="A219" s="1810"/>
      <c r="B219" s="898"/>
      <c r="C219" s="579"/>
      <c r="D219" s="577"/>
      <c r="E219" s="577"/>
      <c r="F219" s="186"/>
      <c r="G219" s="664" t="str" cm="1">
        <f t="array" ref="G219">IFERROR((_xlfn.IFS(F219=$AC$15,"3",F219=$AC$16,"2",F219=$AC$17,"1",F219=$AC$18,"1"))*E219,"")</f>
        <v/>
      </c>
      <c r="H219" s="168"/>
      <c r="I219" s="186"/>
      <c r="J219" s="183" t="str">
        <f>IFERROR(H219/VLOOKUP(I219,'$ Conversion'!$A$9:$B$40,2,0),"")</f>
        <v/>
      </c>
      <c r="K219" s="1252"/>
      <c r="L219" s="179" t="str">
        <f>IFERROR(VLOOKUP(B219,Buildings!$B$9:$H$41,3,0),"")</f>
        <v/>
      </c>
      <c r="M219" s="210" t="str">
        <f>IFERROR(VLOOKUP(B219,Buildings!$B$9:$H$41,7,0),"")</f>
        <v/>
      </c>
      <c r="N219" s="1553" t="str">
        <f>IFERROR(VLOOKUP($C219&amp;"|"&amp;$D219,'Carbon factors'!$D$7:$E$361,2,0)*(IF(K219="",1,(1-K219))),"")</f>
        <v/>
      </c>
      <c r="O219" s="501" t="str">
        <f t="shared" si="14"/>
        <v/>
      </c>
      <c r="P219" s="179" t="str" cm="1">
        <f t="array" ref="P219">IFERROR(_xlfn.IFS(L219="unknown","Manually Select Scope -&gt;",M219="unknown","Manually Select Scope -&gt;",Z219&lt;&gt;AA219,"Scope 1"),"Scope 1")</f>
        <v>Scope 1</v>
      </c>
      <c r="Q219" s="1236"/>
      <c r="R219" s="674" t="str">
        <f t="shared" si="15"/>
        <v/>
      </c>
      <c r="U219" s="1297" t="str">
        <f>IFERROR(($E219*(VLOOKUP($C219&amp;"|"&amp;$D219,'Carbon factors'!$D$7:$H$361,3,0))),"")</f>
        <v/>
      </c>
      <c r="V219" s="183" t="str">
        <f>IFERROR(($E219*(VLOOKUP($C219&amp;"|"&amp;$D219,'Carbon factors'!$D$7:$H$361,4,0))),"")</f>
        <v/>
      </c>
      <c r="W219" s="1296" t="str">
        <f>IFERROR(($E219*(VLOOKUP($C219&amp;"|"&amp;$D219,'Carbon factors'!$D$7:$H$361,5,0))),"")</f>
        <v/>
      </c>
      <c r="Z219" s="598" t="str">
        <f t="shared" si="16"/>
        <v>Scope 3</v>
      </c>
      <c r="AA219" s="599" t="str">
        <f t="shared" si="17"/>
        <v>Scope 3</v>
      </c>
    </row>
    <row r="220" spans="1:27" x14ac:dyDescent="0.35">
      <c r="A220" s="1810"/>
      <c r="B220" s="898"/>
      <c r="C220" s="579"/>
      <c r="D220" s="577"/>
      <c r="E220" s="577"/>
      <c r="F220" s="186"/>
      <c r="G220" s="664" t="str" cm="1">
        <f t="array" ref="G220">IFERROR((_xlfn.IFS(F220=$AC$15,"3",F220=$AC$16,"2",F220=$AC$17,"1",F220=$AC$18,"1"))*E220,"")</f>
        <v/>
      </c>
      <c r="H220" s="168"/>
      <c r="I220" s="186"/>
      <c r="J220" s="183" t="str">
        <f>IFERROR(H220/VLOOKUP(I220,'$ Conversion'!$A$9:$B$40,2,0),"")</f>
        <v/>
      </c>
      <c r="K220" s="1252"/>
      <c r="L220" s="179" t="str">
        <f>IFERROR(VLOOKUP(B220,Buildings!$B$9:$H$41,3,0),"")</f>
        <v/>
      </c>
      <c r="M220" s="210" t="str">
        <f>IFERROR(VLOOKUP(B220,Buildings!$B$9:$H$41,7,0),"")</f>
        <v/>
      </c>
      <c r="N220" s="1553" t="str">
        <f>IFERROR(VLOOKUP($C220&amp;"|"&amp;$D220,'Carbon factors'!$D$7:$E$361,2,0)*(IF(K220="",1,(1-K220))),"")</f>
        <v/>
      </c>
      <c r="O220" s="501" t="str">
        <f t="shared" si="14"/>
        <v/>
      </c>
      <c r="P220" s="179" t="str" cm="1">
        <f t="array" ref="P220">IFERROR(_xlfn.IFS(L220="unknown","Manually Select Scope -&gt;",M220="unknown","Manually Select Scope -&gt;",Z220&lt;&gt;AA220,"Scope 1"),"Scope 1")</f>
        <v>Scope 1</v>
      </c>
      <c r="Q220" s="1236"/>
      <c r="R220" s="674" t="str">
        <f t="shared" si="15"/>
        <v/>
      </c>
      <c r="U220" s="1297" t="str">
        <f>IFERROR(($E220*(VLOOKUP($C220&amp;"|"&amp;$D220,'Carbon factors'!$D$7:$H$361,3,0))),"")</f>
        <v/>
      </c>
      <c r="V220" s="183" t="str">
        <f>IFERROR(($E220*(VLOOKUP($C220&amp;"|"&amp;$D220,'Carbon factors'!$D$7:$H$361,4,0))),"")</f>
        <v/>
      </c>
      <c r="W220" s="1296" t="str">
        <f>IFERROR(($E220*(VLOOKUP($C220&amp;"|"&amp;$D220,'Carbon factors'!$D$7:$H$361,5,0))),"")</f>
        <v/>
      </c>
      <c r="Z220" s="598" t="str">
        <f t="shared" si="16"/>
        <v>Scope 3</v>
      </c>
      <c r="AA220" s="599" t="str">
        <f t="shared" si="17"/>
        <v>Scope 3</v>
      </c>
    </row>
    <row r="221" spans="1:27" x14ac:dyDescent="0.35">
      <c r="A221" s="1810"/>
      <c r="B221" s="898"/>
      <c r="C221" s="579"/>
      <c r="D221" s="577"/>
      <c r="E221" s="577"/>
      <c r="F221" s="186"/>
      <c r="G221" s="664" t="str" cm="1">
        <f t="array" ref="G221">IFERROR((_xlfn.IFS(F221=$AC$15,"3",F221=$AC$16,"2",F221=$AC$17,"1",F221=$AC$18,"1"))*E221,"")</f>
        <v/>
      </c>
      <c r="H221" s="168"/>
      <c r="I221" s="186"/>
      <c r="J221" s="183" t="str">
        <f>IFERROR(H221/VLOOKUP(I221,'$ Conversion'!$A$9:$B$40,2,0),"")</f>
        <v/>
      </c>
      <c r="K221" s="1252"/>
      <c r="L221" s="179" t="str">
        <f>IFERROR(VLOOKUP(B221,Buildings!$B$9:$H$41,3,0),"")</f>
        <v/>
      </c>
      <c r="M221" s="210" t="str">
        <f>IFERROR(VLOOKUP(B221,Buildings!$B$9:$H$41,7,0),"")</f>
        <v/>
      </c>
      <c r="N221" s="1553" t="str">
        <f>IFERROR(VLOOKUP($C221&amp;"|"&amp;$D221,'Carbon factors'!$D$7:$E$361,2,0)*(IF(K221="",1,(1-K221))),"")</f>
        <v/>
      </c>
      <c r="O221" s="501" t="str">
        <f t="shared" si="14"/>
        <v/>
      </c>
      <c r="P221" s="179" t="str" cm="1">
        <f t="array" ref="P221">IFERROR(_xlfn.IFS(L221="unknown","Manually Select Scope -&gt;",M221="unknown","Manually Select Scope -&gt;",Z221&lt;&gt;AA221,"Scope 1"),"Scope 1")</f>
        <v>Scope 1</v>
      </c>
      <c r="Q221" s="1236"/>
      <c r="R221" s="674" t="str">
        <f t="shared" si="15"/>
        <v/>
      </c>
      <c r="U221" s="1297" t="str">
        <f>IFERROR(($E221*(VLOOKUP($C221&amp;"|"&amp;$D221,'Carbon factors'!$D$7:$H$361,3,0))),"")</f>
        <v/>
      </c>
      <c r="V221" s="183" t="str">
        <f>IFERROR(($E221*(VLOOKUP($C221&amp;"|"&amp;$D221,'Carbon factors'!$D$7:$H$361,4,0))),"")</f>
        <v/>
      </c>
      <c r="W221" s="1296" t="str">
        <f>IFERROR(($E221*(VLOOKUP($C221&amp;"|"&amp;$D221,'Carbon factors'!$D$7:$H$361,5,0))),"")</f>
        <v/>
      </c>
      <c r="Z221" s="598" t="str">
        <f t="shared" si="16"/>
        <v>Scope 3</v>
      </c>
      <c r="AA221" s="599" t="str">
        <f t="shared" si="17"/>
        <v>Scope 3</v>
      </c>
    </row>
    <row r="222" spans="1:27" x14ac:dyDescent="0.35">
      <c r="A222" s="1810"/>
      <c r="B222" s="898"/>
      <c r="C222" s="579"/>
      <c r="D222" s="577"/>
      <c r="E222" s="577"/>
      <c r="F222" s="186"/>
      <c r="G222" s="664" t="str" cm="1">
        <f t="array" ref="G222">IFERROR((_xlfn.IFS(F222=$AC$15,"3",F222=$AC$16,"2",F222=$AC$17,"1",F222=$AC$18,"1"))*E222,"")</f>
        <v/>
      </c>
      <c r="H222" s="168"/>
      <c r="I222" s="186"/>
      <c r="J222" s="183" t="str">
        <f>IFERROR(H222/VLOOKUP(I222,'$ Conversion'!$A$9:$B$40,2,0),"")</f>
        <v/>
      </c>
      <c r="K222" s="1252"/>
      <c r="L222" s="179" t="str">
        <f>IFERROR(VLOOKUP(B222,Buildings!$B$9:$H$41,3,0),"")</f>
        <v/>
      </c>
      <c r="M222" s="210" t="str">
        <f>IFERROR(VLOOKUP(B222,Buildings!$B$9:$H$41,7,0),"")</f>
        <v/>
      </c>
      <c r="N222" s="1553" t="str">
        <f>IFERROR(VLOOKUP($C222&amp;"|"&amp;$D222,'Carbon factors'!$D$7:$E$361,2,0)*(IF(K222="",1,(1-K222))),"")</f>
        <v/>
      </c>
      <c r="O222" s="501" t="str">
        <f t="shared" si="14"/>
        <v/>
      </c>
      <c r="P222" s="179" t="str" cm="1">
        <f t="array" ref="P222">IFERROR(_xlfn.IFS(L222="unknown","Manually Select Scope -&gt;",M222="unknown","Manually Select Scope -&gt;",Z222&lt;&gt;AA222,"Scope 1"),"Scope 1")</f>
        <v>Scope 1</v>
      </c>
      <c r="Q222" s="1236"/>
      <c r="R222" s="674" t="str">
        <f t="shared" si="15"/>
        <v/>
      </c>
      <c r="U222" s="1297" t="str">
        <f>IFERROR(($E222*(VLOOKUP($C222&amp;"|"&amp;$D222,'Carbon factors'!$D$7:$H$361,3,0))),"")</f>
        <v/>
      </c>
      <c r="V222" s="183" t="str">
        <f>IFERROR(($E222*(VLOOKUP($C222&amp;"|"&amp;$D222,'Carbon factors'!$D$7:$H$361,4,0))),"")</f>
        <v/>
      </c>
      <c r="W222" s="1296" t="str">
        <f>IFERROR(($E222*(VLOOKUP($C222&amp;"|"&amp;$D222,'Carbon factors'!$D$7:$H$361,5,0))),"")</f>
        <v/>
      </c>
      <c r="Z222" s="598" t="str">
        <f t="shared" si="16"/>
        <v>Scope 3</v>
      </c>
      <c r="AA222" s="599" t="str">
        <f t="shared" si="17"/>
        <v>Scope 3</v>
      </c>
    </row>
    <row r="223" spans="1:27" x14ac:dyDescent="0.35">
      <c r="A223" s="1810"/>
      <c r="B223" s="898"/>
      <c r="C223" s="579"/>
      <c r="D223" s="577"/>
      <c r="E223" s="577"/>
      <c r="F223" s="186"/>
      <c r="G223" s="664" t="str" cm="1">
        <f t="array" ref="G223">IFERROR((_xlfn.IFS(F223=$AC$15,"3",F223=$AC$16,"2",F223=$AC$17,"1",F223=$AC$18,"1"))*E223,"")</f>
        <v/>
      </c>
      <c r="H223" s="168"/>
      <c r="I223" s="186"/>
      <c r="J223" s="183" t="str">
        <f>IFERROR(H223/VLOOKUP(I223,'$ Conversion'!$A$9:$B$40,2,0),"")</f>
        <v/>
      </c>
      <c r="K223" s="1252"/>
      <c r="L223" s="179" t="str">
        <f>IFERROR(VLOOKUP(B223,Buildings!$B$9:$H$41,3,0),"")</f>
        <v/>
      </c>
      <c r="M223" s="210" t="str">
        <f>IFERROR(VLOOKUP(B223,Buildings!$B$9:$H$41,7,0),"")</f>
        <v/>
      </c>
      <c r="N223" s="1553" t="str">
        <f>IFERROR(VLOOKUP($C223&amp;"|"&amp;$D223,'Carbon factors'!$D$7:$E$361,2,0)*(IF(K223="",1,(1-K223))),"")</f>
        <v/>
      </c>
      <c r="O223" s="501" t="str">
        <f t="shared" si="14"/>
        <v/>
      </c>
      <c r="P223" s="179" t="str" cm="1">
        <f t="array" ref="P223">IFERROR(_xlfn.IFS(L223="unknown","Manually Select Scope -&gt;",M223="unknown","Manually Select Scope -&gt;",Z223&lt;&gt;AA223,"Scope 1"),"Scope 1")</f>
        <v>Scope 1</v>
      </c>
      <c r="Q223" s="1236"/>
      <c r="R223" s="674" t="str">
        <f t="shared" si="15"/>
        <v/>
      </c>
      <c r="S223" s="1306"/>
      <c r="T223" s="1306"/>
      <c r="U223" s="1297" t="str">
        <f>IFERROR(($E223*(VLOOKUP($C223&amp;"|"&amp;$D223,'Carbon factors'!$D$7:$H$361,3,0))),"")</f>
        <v/>
      </c>
      <c r="V223" s="183" t="str">
        <f>IFERROR(($E223*(VLOOKUP($C223&amp;"|"&amp;$D223,'Carbon factors'!$D$7:$H$361,4,0))),"")</f>
        <v/>
      </c>
      <c r="W223" s="1296" t="str">
        <f>IFERROR(($E223*(VLOOKUP($C223&amp;"|"&amp;$D223,'Carbon factors'!$D$7:$H$361,5,0))),"")</f>
        <v/>
      </c>
      <c r="X223" s="6"/>
      <c r="Z223" s="598" t="str">
        <f t="shared" si="16"/>
        <v>Scope 3</v>
      </c>
      <c r="AA223" s="599" t="str">
        <f t="shared" si="17"/>
        <v>Scope 3</v>
      </c>
    </row>
    <row r="224" spans="1:27" x14ac:dyDescent="0.35">
      <c r="A224" s="1810"/>
      <c r="B224" s="898"/>
      <c r="C224" s="579"/>
      <c r="D224" s="577"/>
      <c r="E224" s="577"/>
      <c r="F224" s="186"/>
      <c r="G224" s="664" t="str" cm="1">
        <f t="array" ref="G224">IFERROR((_xlfn.IFS(F224=$AC$15,"3",F224=$AC$16,"2",F224=$AC$17,"1",F224=$AC$18,"1"))*E224,"")</f>
        <v/>
      </c>
      <c r="H224" s="168"/>
      <c r="I224" s="186"/>
      <c r="J224" s="183" t="str">
        <f>IFERROR(H224/VLOOKUP(I224,'$ Conversion'!$A$9:$B$40,2,0),"")</f>
        <v/>
      </c>
      <c r="K224" s="1252"/>
      <c r="L224" s="179" t="str">
        <f>IFERROR(VLOOKUP(B224,Buildings!$B$9:$H$41,3,0),"")</f>
        <v/>
      </c>
      <c r="M224" s="210" t="str">
        <f>IFERROR(VLOOKUP(B224,Buildings!$B$9:$H$41,7,0),"")</f>
        <v/>
      </c>
      <c r="N224" s="1553" t="str">
        <f>IFERROR(VLOOKUP($C224&amp;"|"&amp;$D224,'Carbon factors'!$D$7:$E$361,2,0)*(IF(K224="",1,(1-K224))),"")</f>
        <v/>
      </c>
      <c r="O224" s="501" t="str">
        <f t="shared" si="14"/>
        <v/>
      </c>
      <c r="P224" s="179" t="str" cm="1">
        <f t="array" ref="P224">IFERROR(_xlfn.IFS(L224="unknown","Manually Select Scope -&gt;",M224="unknown","Manually Select Scope -&gt;",Z224&lt;&gt;AA224,"Scope 1"),"Scope 1")</f>
        <v>Scope 1</v>
      </c>
      <c r="Q224" s="1236"/>
      <c r="R224" s="674" t="str">
        <f t="shared" si="15"/>
        <v/>
      </c>
      <c r="S224" s="1306"/>
      <c r="T224" s="1306"/>
      <c r="U224" s="1297" t="str">
        <f>IFERROR(($E224*(VLOOKUP($C224&amp;"|"&amp;$D224,'Carbon factors'!$D$7:$H$361,3,0))),"")</f>
        <v/>
      </c>
      <c r="V224" s="183" t="str">
        <f>IFERROR(($E224*(VLOOKUP($C224&amp;"|"&amp;$D224,'Carbon factors'!$D$7:$H$361,4,0))),"")</f>
        <v/>
      </c>
      <c r="W224" s="1296" t="str">
        <f>IFERROR(($E224*(VLOOKUP($C224&amp;"|"&amp;$D224,'Carbon factors'!$D$7:$H$361,5,0))),"")</f>
        <v/>
      </c>
      <c r="X224" s="6"/>
      <c r="Z224" s="598" t="str">
        <f t="shared" si="16"/>
        <v>Scope 3</v>
      </c>
      <c r="AA224" s="599" t="str">
        <f t="shared" si="17"/>
        <v>Scope 3</v>
      </c>
    </row>
    <row r="225" spans="1:27" x14ac:dyDescent="0.35">
      <c r="A225" s="1810"/>
      <c r="B225" s="898"/>
      <c r="C225" s="579"/>
      <c r="D225" s="577"/>
      <c r="E225" s="577"/>
      <c r="F225" s="186"/>
      <c r="G225" s="664" t="str" cm="1">
        <f t="array" ref="G225">IFERROR((_xlfn.IFS(F225=$AC$15,"3",F225=$AC$16,"2",F225=$AC$17,"1",F225=$AC$18,"1"))*E225,"")</f>
        <v/>
      </c>
      <c r="H225" s="168"/>
      <c r="I225" s="186"/>
      <c r="J225" s="183" t="str">
        <f>IFERROR(H225/VLOOKUP(I225,'$ Conversion'!$A$9:$B$40,2,0),"")</f>
        <v/>
      </c>
      <c r="K225" s="1252"/>
      <c r="L225" s="179" t="str">
        <f>IFERROR(VLOOKUP(B225,Buildings!$B$9:$H$41,3,0),"")</f>
        <v/>
      </c>
      <c r="M225" s="210" t="str">
        <f>IFERROR(VLOOKUP(B225,Buildings!$B$9:$H$41,7,0),"")</f>
        <v/>
      </c>
      <c r="N225" s="1553" t="str">
        <f>IFERROR(VLOOKUP($C225&amp;"|"&amp;$D225,'Carbon factors'!$D$7:$E$361,2,0)*(IF(K225="",1,(1-K225))),"")</f>
        <v/>
      </c>
      <c r="O225" s="501" t="str">
        <f t="shared" si="14"/>
        <v/>
      </c>
      <c r="P225" s="179" t="str" cm="1">
        <f t="array" ref="P225">IFERROR(_xlfn.IFS(L225="unknown","Manually Select Scope -&gt;",M225="unknown","Manually Select Scope -&gt;",Z225&lt;&gt;AA225,"Scope 1"),"Scope 1")</f>
        <v>Scope 1</v>
      </c>
      <c r="Q225" s="1236"/>
      <c r="R225" s="674" t="str">
        <f t="shared" si="15"/>
        <v/>
      </c>
      <c r="S225" s="1307"/>
      <c r="T225" s="1307"/>
      <c r="U225" s="1297" t="str">
        <f>IFERROR(($E225*(VLOOKUP($C225&amp;"|"&amp;$D225,'Carbon factors'!$D$7:$H$361,3,0))),"")</f>
        <v/>
      </c>
      <c r="V225" s="183" t="str">
        <f>IFERROR(($E225*(VLOOKUP($C225&amp;"|"&amp;$D225,'Carbon factors'!$D$7:$H$361,4,0))),"")</f>
        <v/>
      </c>
      <c r="W225" s="1296" t="str">
        <f>IFERROR(($E225*(VLOOKUP($C225&amp;"|"&amp;$D225,'Carbon factors'!$D$7:$H$361,5,0))),"")</f>
        <v/>
      </c>
      <c r="X225" s="7"/>
      <c r="Z225" s="598" t="str">
        <f t="shared" si="16"/>
        <v>Scope 3</v>
      </c>
      <c r="AA225" s="599" t="str">
        <f t="shared" si="17"/>
        <v>Scope 3</v>
      </c>
    </row>
    <row r="226" spans="1:27" ht="15" thickBot="1" x14ac:dyDescent="0.4">
      <c r="A226" s="1811"/>
      <c r="B226" s="899"/>
      <c r="C226" s="580"/>
      <c r="D226" s="575"/>
      <c r="E226" s="575"/>
      <c r="F226" s="188"/>
      <c r="G226" s="667" t="str" cm="1">
        <f t="array" ref="G226">IFERROR((_xlfn.IFS(F226=$AC$15,"3",F226=$AC$16,"2",F226=$AC$17,"1",F226=$AC$18,"1"))*E226,"")</f>
        <v/>
      </c>
      <c r="H226" s="187"/>
      <c r="I226" s="188"/>
      <c r="J226" s="184" t="str">
        <f>IFERROR(H226/VLOOKUP(I226,'$ Conversion'!$A$9:$B$40,2,0),"")</f>
        <v/>
      </c>
      <c r="K226" s="1252"/>
      <c r="L226" s="180" t="str">
        <f>IFERROR(VLOOKUP(B226,Buildings!$B$9:$H$41,3,0),"")</f>
        <v/>
      </c>
      <c r="M226" s="211" t="str">
        <f>IFERROR(VLOOKUP(B226,Buildings!$B$9:$H$41,7,0),"")</f>
        <v/>
      </c>
      <c r="N226" s="1554" t="str">
        <f>IFERROR(VLOOKUP($C226&amp;"|"&amp;$D226,'Carbon factors'!$D$7:$E$361,2,0)*(IF(K226="",1,(1-K226))),"")</f>
        <v/>
      </c>
      <c r="O226" s="502" t="str">
        <f t="shared" si="14"/>
        <v/>
      </c>
      <c r="P226" s="180" t="str" cm="1">
        <f t="array" ref="P226">IFERROR(_xlfn.IFS(L226="unknown","Manually Select Scope -&gt;",M226="unknown","Manually Select Scope -&gt;",Z226&lt;&gt;AA226,"Scope 1"),"Scope 1")</f>
        <v>Scope 1</v>
      </c>
      <c r="Q226" s="1237"/>
      <c r="R226" s="675" t="str">
        <f t="shared" si="15"/>
        <v/>
      </c>
      <c r="S226" s="1307"/>
      <c r="T226" s="1307"/>
      <c r="U226" s="1297" t="str">
        <f>IFERROR(($E226*(VLOOKUP($C226&amp;"|"&amp;$D226,'Carbon factors'!$D$7:$H$361,3,0))),"")</f>
        <v/>
      </c>
      <c r="V226" s="183" t="str">
        <f>IFERROR(($E226*(VLOOKUP($C226&amp;"|"&amp;$D226,'Carbon factors'!$D$7:$H$361,4,0))),"")</f>
        <v/>
      </c>
      <c r="W226" s="1296" t="str">
        <f>IFERROR(($E226*(VLOOKUP($C226&amp;"|"&amp;$D226,'Carbon factors'!$D$7:$H$361,5,0))),"")</f>
        <v/>
      </c>
      <c r="X226" s="7"/>
      <c r="Z226" s="598" t="str">
        <f t="shared" si="16"/>
        <v>Scope 3</v>
      </c>
      <c r="AA226" s="599" t="str">
        <f t="shared" si="17"/>
        <v>Scope 3</v>
      </c>
    </row>
    <row r="227" spans="1:27" ht="48.75" customHeight="1" x14ac:dyDescent="0.45">
      <c r="A227" s="823" t="s">
        <v>529</v>
      </c>
      <c r="B227" s="1179" t="s">
        <v>634</v>
      </c>
      <c r="C227" s="915" t="s">
        <v>635</v>
      </c>
      <c r="D227" s="916" t="s">
        <v>533</v>
      </c>
      <c r="E227" s="916" t="s">
        <v>534</v>
      </c>
      <c r="F227" s="917" t="s">
        <v>535</v>
      </c>
      <c r="G227" s="918" t="s">
        <v>536</v>
      </c>
      <c r="H227" s="917" t="s">
        <v>537</v>
      </c>
      <c r="I227" s="917" t="s">
        <v>142</v>
      </c>
      <c r="J227" s="917" t="s">
        <v>538</v>
      </c>
      <c r="K227" s="530" t="s">
        <v>619</v>
      </c>
      <c r="L227" s="917" t="s">
        <v>540</v>
      </c>
      <c r="M227" s="530" t="s">
        <v>541</v>
      </c>
      <c r="N227" s="1177" t="s">
        <v>542</v>
      </c>
      <c r="O227" s="919" t="s">
        <v>543</v>
      </c>
      <c r="P227" s="917" t="s">
        <v>544</v>
      </c>
      <c r="Q227" s="1231" t="s">
        <v>545</v>
      </c>
      <c r="R227" s="671" t="s">
        <v>546</v>
      </c>
      <c r="U227" s="1447" t="s">
        <v>178</v>
      </c>
      <c r="V227" s="1448" t="s">
        <v>179</v>
      </c>
      <c r="W227" s="1449" t="s">
        <v>180</v>
      </c>
    </row>
    <row r="228" spans="1:27" ht="45.75" customHeight="1" thickBot="1" x14ac:dyDescent="0.4">
      <c r="A228" s="1812" t="s">
        <v>636</v>
      </c>
      <c r="B228" s="896" t="s">
        <v>554</v>
      </c>
      <c r="C228" s="476" t="s">
        <v>637</v>
      </c>
      <c r="D228" s="190" t="s">
        <v>329</v>
      </c>
      <c r="E228" s="193" t="s">
        <v>624</v>
      </c>
      <c r="F228" s="190" t="s">
        <v>329</v>
      </c>
      <c r="G228" s="665"/>
      <c r="H228" s="190" t="s">
        <v>467</v>
      </c>
      <c r="I228" s="190" t="s">
        <v>329</v>
      </c>
      <c r="J228" s="190" t="s">
        <v>556</v>
      </c>
      <c r="K228" s="248"/>
      <c r="L228" s="191" t="s">
        <v>558</v>
      </c>
      <c r="M228" s="474" t="s">
        <v>558</v>
      </c>
      <c r="N228" s="1176" t="s">
        <v>614</v>
      </c>
      <c r="O228" s="662" t="s">
        <v>560</v>
      </c>
      <c r="P228" s="191" t="s">
        <v>561</v>
      </c>
      <c r="Q228" s="1232" t="s">
        <v>562</v>
      </c>
      <c r="R228" s="677" t="s">
        <v>556</v>
      </c>
      <c r="U228" s="1450" t="s">
        <v>202</v>
      </c>
      <c r="V228" s="1451" t="s">
        <v>202</v>
      </c>
      <c r="W228" s="1452" t="s">
        <v>202</v>
      </c>
    </row>
    <row r="229" spans="1:27" x14ac:dyDescent="0.35">
      <c r="A229" s="1814"/>
      <c r="B229" s="897"/>
      <c r="C229" s="578"/>
      <c r="D229" s="204" t="s">
        <v>563</v>
      </c>
      <c r="E229" s="576"/>
      <c r="F229" s="197"/>
      <c r="G229" s="666" t="str" cm="1">
        <f t="array" ref="G229">IFERROR((_xlfn.IFS(F229=$AC$15,"3",F229=$AC$16,"2",F229=$AC$17,"1",F229=$AC$18,"1"))*E229,"")</f>
        <v/>
      </c>
      <c r="H229" s="199"/>
      <c r="I229" s="197"/>
      <c r="J229" s="440" t="str">
        <f>IFERROR(H229/VLOOKUP(I229,'$ Conversion'!$A$9:$B$40,2,0),"")</f>
        <v/>
      </c>
      <c r="K229" s="209"/>
      <c r="L229" s="1270" t="str">
        <f>IFERROR(VLOOKUP(B229,Buildings!$B$9:$H$41,3,0),"")</f>
        <v/>
      </c>
      <c r="M229" s="920" t="str">
        <f>IFERROR(VLOOKUP(B229,Buildings!$B$9:$H$41,7,0),"")</f>
        <v/>
      </c>
      <c r="N229" s="1558">
        <f>IF(C229&gt;0,C229,'Carbon factors'!$E$115)</f>
        <v>0.17261000000000001</v>
      </c>
      <c r="O229" s="500">
        <f t="shared" ref="O229:O258" si="18">IFERROR(E229*N229,"")</f>
        <v>0</v>
      </c>
      <c r="P229" s="435" t="str" cm="1">
        <f t="array" ref="P229">IFERROR(_xlfn.IFS(L229="Y","Scope 2",L229="N","Scope 3",L229="Unknown","Manually Select Scope -&gt;"),"")</f>
        <v/>
      </c>
      <c r="Q229" s="1258"/>
      <c r="R229" s="673" t="str">
        <f t="shared" ref="R229:R256" si="19">IFERROR((J229*E229),"")</f>
        <v/>
      </c>
      <c r="U229" s="1297">
        <f>IF(C229="",($E229*'Carbon factors'!$F$115),"")</f>
        <v>0</v>
      </c>
      <c r="V229" s="183">
        <f>IF(C229="",($E229*'Carbon factors'!$G$115),"")</f>
        <v>0</v>
      </c>
      <c r="W229" s="1296">
        <f>IF(C229="",($E229*'Carbon factors'!$H$115),"")</f>
        <v>0</v>
      </c>
    </row>
    <row r="230" spans="1:27" x14ac:dyDescent="0.35">
      <c r="A230" s="1814"/>
      <c r="B230" s="898"/>
      <c r="C230" s="579"/>
      <c r="D230" s="165" t="s">
        <v>563</v>
      </c>
      <c r="E230" s="577"/>
      <c r="F230" s="186"/>
      <c r="G230" s="664" t="str" cm="1">
        <f t="array" ref="G230">IFERROR((_xlfn.IFS(F230=$AC$15,"3",F230=$AC$16,"2",F230=$AC$17,"1",F230=$AC$18,"1"))*E230,"")</f>
        <v/>
      </c>
      <c r="H230" s="168"/>
      <c r="I230" s="186"/>
      <c r="J230" s="183" t="str">
        <f>IFERROR(H230/VLOOKUP(I230,'$ Conversion'!$A$9:$B$40,2,0),"")</f>
        <v/>
      </c>
      <c r="K230" s="212"/>
      <c r="L230" s="1271" t="str">
        <f>IFERROR(VLOOKUP(B230,Buildings!$B$9:$H$41,3,0),"")</f>
        <v/>
      </c>
      <c r="M230" s="449" t="str">
        <f>IFERROR(VLOOKUP(B230,Buildings!$B$9:$H$41,7,0),"")</f>
        <v/>
      </c>
      <c r="N230" s="1553">
        <f>IF(C230&gt;0,C230,'Carbon factors'!$E$115)</f>
        <v>0.17261000000000001</v>
      </c>
      <c r="O230" s="501">
        <f t="shared" si="18"/>
        <v>0</v>
      </c>
      <c r="P230" s="819" t="str" cm="1">
        <f t="array" ref="P230">IFERROR(_xlfn.IFS(L230="Y","Scope 2",L230="N","Scope 3",L230="Unknown","Manually Select Scope -&gt;"),"")</f>
        <v/>
      </c>
      <c r="Q230" s="1229"/>
      <c r="R230" s="674" t="str">
        <f t="shared" si="19"/>
        <v/>
      </c>
      <c r="U230" s="1297">
        <f>IF(C230="",($E230*'Carbon factors'!$F$115),"")</f>
        <v>0</v>
      </c>
      <c r="V230" s="183">
        <f>IF(C230="",($E230*'Carbon factors'!$G$115),"")</f>
        <v>0</v>
      </c>
      <c r="W230" s="1296">
        <f>IF(C230="",($E230*'Carbon factors'!$H$115),"")</f>
        <v>0</v>
      </c>
    </row>
    <row r="231" spans="1:27" x14ac:dyDescent="0.35">
      <c r="A231" s="1814"/>
      <c r="B231" s="898"/>
      <c r="C231" s="579"/>
      <c r="D231" s="165" t="s">
        <v>563</v>
      </c>
      <c r="E231" s="577"/>
      <c r="F231" s="186"/>
      <c r="G231" s="664" t="str" cm="1">
        <f t="array" ref="G231">IFERROR((_xlfn.IFS(F231=$AC$15,"3",F231=$AC$16,"2",F231=$AC$17,"1",F231=$AC$18,"1"))*E231,"")</f>
        <v/>
      </c>
      <c r="H231" s="168"/>
      <c r="I231" s="186"/>
      <c r="J231" s="183" t="str">
        <f>IFERROR(H231/VLOOKUP(I231,'$ Conversion'!$A$9:$B$40,2,0),"")</f>
        <v/>
      </c>
      <c r="K231" s="212"/>
      <c r="L231" s="1271" t="str">
        <f>IFERROR(VLOOKUP(B231,Buildings!$B$9:$H$41,3,0),"")</f>
        <v/>
      </c>
      <c r="M231" s="449" t="str">
        <f>IFERROR(VLOOKUP(B231,Buildings!$B$9:$H$41,7,0),"")</f>
        <v/>
      </c>
      <c r="N231" s="1553">
        <f>IF(C231&gt;0,C231,'Carbon factors'!$E$115)</f>
        <v>0.17261000000000001</v>
      </c>
      <c r="O231" s="501">
        <f t="shared" si="18"/>
        <v>0</v>
      </c>
      <c r="P231" s="819" t="str" cm="1">
        <f t="array" ref="P231">IFERROR(_xlfn.IFS(L231="Y","Scope 2",L231="N","Scope 3",L231="Unknown","Manually Select Scope -&gt;"),"")</f>
        <v/>
      </c>
      <c r="Q231" s="1229"/>
      <c r="R231" s="674" t="str">
        <f t="shared" si="19"/>
        <v/>
      </c>
      <c r="U231" s="1297">
        <f>IF(C231="",($E231*'Carbon factors'!$F$115),"")</f>
        <v>0</v>
      </c>
      <c r="V231" s="183">
        <f>IF(C231="",($E231*'Carbon factors'!$G$115),"")</f>
        <v>0</v>
      </c>
      <c r="W231" s="1296">
        <f>IF(C231="",($E231*'Carbon factors'!$H$115),"")</f>
        <v>0</v>
      </c>
    </row>
    <row r="232" spans="1:27" x14ac:dyDescent="0.35">
      <c r="A232" s="1814"/>
      <c r="B232" s="898"/>
      <c r="C232" s="579"/>
      <c r="D232" s="165" t="s">
        <v>563</v>
      </c>
      <c r="E232" s="577"/>
      <c r="F232" s="186"/>
      <c r="G232" s="664" t="str" cm="1">
        <f t="array" ref="G232">IFERROR((_xlfn.IFS(F232=$AC$15,"3",F232=$AC$16,"2",F232=$AC$17,"1",F232=$AC$18,"1"))*E232,"")</f>
        <v/>
      </c>
      <c r="H232" s="168"/>
      <c r="I232" s="186"/>
      <c r="J232" s="183" t="str">
        <f>IFERROR(H232/VLOOKUP(I232,'$ Conversion'!$A$9:$B$40,2,0),"")</f>
        <v/>
      </c>
      <c r="K232" s="212"/>
      <c r="L232" s="1271" t="str">
        <f>IFERROR(VLOOKUP(B232,Buildings!$B$9:$H$41,3,0),"")</f>
        <v/>
      </c>
      <c r="M232" s="449" t="str">
        <f>IFERROR(VLOOKUP(B232,Buildings!$B$9:$H$41,7,0),"")</f>
        <v/>
      </c>
      <c r="N232" s="1553">
        <f>IF(C232&gt;0,C232,'Carbon factors'!$E$115)</f>
        <v>0.17261000000000001</v>
      </c>
      <c r="O232" s="501">
        <f t="shared" si="18"/>
        <v>0</v>
      </c>
      <c r="P232" s="819" t="str" cm="1">
        <f t="array" ref="P232">IFERROR(_xlfn.IFS(L232="Y","Scope 2",L232="N","Scope 3",L232="Unknown","Manually Select Scope -&gt;"),"")</f>
        <v/>
      </c>
      <c r="Q232" s="1229"/>
      <c r="R232" s="674" t="str">
        <f t="shared" si="19"/>
        <v/>
      </c>
      <c r="U232" s="1297">
        <f>IF(C232="",($E232*'Carbon factors'!$F$115),"")</f>
        <v>0</v>
      </c>
      <c r="V232" s="183">
        <f>IF(C232="",($E232*'Carbon factors'!$G$115),"")</f>
        <v>0</v>
      </c>
      <c r="W232" s="1296">
        <f>IF(C232="",($E232*'Carbon factors'!$H$115),"")</f>
        <v>0</v>
      </c>
    </row>
    <row r="233" spans="1:27" x14ac:dyDescent="0.35">
      <c r="A233" s="1814"/>
      <c r="B233" s="898"/>
      <c r="C233" s="579"/>
      <c r="D233" s="165" t="s">
        <v>563</v>
      </c>
      <c r="E233" s="577"/>
      <c r="F233" s="186"/>
      <c r="G233" s="664" t="str" cm="1">
        <f t="array" ref="G233">IFERROR((_xlfn.IFS(F233=$AC$15,"3",F233=$AC$16,"2",F233=$AC$17,"1",F233=$AC$18,"1"))*E233,"")</f>
        <v/>
      </c>
      <c r="H233" s="168"/>
      <c r="I233" s="186"/>
      <c r="J233" s="183" t="str">
        <f>IFERROR(H233/VLOOKUP(I233,'$ Conversion'!$A$9:$B$40,2,0),"")</f>
        <v/>
      </c>
      <c r="K233" s="212"/>
      <c r="L233" s="1271" t="str">
        <f>IFERROR(VLOOKUP(B233,Buildings!$B$9:$H$41,3,0),"")</f>
        <v/>
      </c>
      <c r="M233" s="449" t="str">
        <f>IFERROR(VLOOKUP(B233,Buildings!$B$9:$H$41,7,0),"")</f>
        <v/>
      </c>
      <c r="N233" s="1553">
        <f>IF(C233&gt;0,C233,'Carbon factors'!$E$115)</f>
        <v>0.17261000000000001</v>
      </c>
      <c r="O233" s="501">
        <f t="shared" si="18"/>
        <v>0</v>
      </c>
      <c r="P233" s="819" t="str" cm="1">
        <f t="array" ref="P233">IFERROR(_xlfn.IFS(L233="Y","Scope 2",L233="N","Scope 3",L233="Unknown","Manually Select Scope -&gt;"),"")</f>
        <v/>
      </c>
      <c r="Q233" s="1229"/>
      <c r="R233" s="674" t="str">
        <f t="shared" si="19"/>
        <v/>
      </c>
      <c r="U233" s="1297">
        <f>IF(C233="",($E233*'Carbon factors'!$F$115),"")</f>
        <v>0</v>
      </c>
      <c r="V233" s="183">
        <f>IF(C233="",($E233*'Carbon factors'!$G$115),"")</f>
        <v>0</v>
      </c>
      <c r="W233" s="1296">
        <f>IF(C233="",($E233*'Carbon factors'!$H$115),"")</f>
        <v>0</v>
      </c>
    </row>
    <row r="234" spans="1:27" x14ac:dyDescent="0.35">
      <c r="A234" s="1814"/>
      <c r="B234" s="898"/>
      <c r="C234" s="579"/>
      <c r="D234" s="165" t="s">
        <v>563</v>
      </c>
      <c r="E234" s="577"/>
      <c r="F234" s="186"/>
      <c r="G234" s="664" t="str" cm="1">
        <f t="array" ref="G234">IFERROR((_xlfn.IFS(F234=$AC$15,"3",F234=$AC$16,"2",F234=$AC$17,"1",F234=$AC$18,"1"))*E234,"")</f>
        <v/>
      </c>
      <c r="H234" s="168"/>
      <c r="I234" s="186"/>
      <c r="J234" s="183" t="str">
        <f>IFERROR(H234/VLOOKUP(I234,'$ Conversion'!$A$9:$B$40,2,0),"")</f>
        <v/>
      </c>
      <c r="K234" s="212"/>
      <c r="L234" s="1271" t="str">
        <f>IFERROR(VLOOKUP(B234,Buildings!$B$9:$H$41,3,0),"")</f>
        <v/>
      </c>
      <c r="M234" s="449" t="str">
        <f>IFERROR(VLOOKUP(B234,Buildings!$B$9:$H$41,7,0),"")</f>
        <v/>
      </c>
      <c r="N234" s="1553">
        <f>IF(C234&gt;0,C234,'Carbon factors'!$E$115)</f>
        <v>0.17261000000000001</v>
      </c>
      <c r="O234" s="501">
        <f t="shared" si="18"/>
        <v>0</v>
      </c>
      <c r="P234" s="819" t="str" cm="1">
        <f t="array" ref="P234">IFERROR(_xlfn.IFS(L234="Y","Scope 2",L234="N","Scope 3",L234="Unknown","Manually Select Scope -&gt;"),"")</f>
        <v/>
      </c>
      <c r="Q234" s="1229"/>
      <c r="R234" s="674" t="str">
        <f t="shared" si="19"/>
        <v/>
      </c>
      <c r="U234" s="1297">
        <f>IF(C234="",($E234*'Carbon factors'!$F$115),"")</f>
        <v>0</v>
      </c>
      <c r="V234" s="183">
        <f>IF(C234="",($E234*'Carbon factors'!$G$115),"")</f>
        <v>0</v>
      </c>
      <c r="W234" s="1296">
        <f>IF(C234="",($E234*'Carbon factors'!$H$115),"")</f>
        <v>0</v>
      </c>
    </row>
    <row r="235" spans="1:27" x14ac:dyDescent="0.35">
      <c r="A235" s="1814"/>
      <c r="B235" s="898"/>
      <c r="C235" s="579"/>
      <c r="D235" s="165" t="s">
        <v>563</v>
      </c>
      <c r="E235" s="577"/>
      <c r="F235" s="186"/>
      <c r="G235" s="664" t="str" cm="1">
        <f t="array" ref="G235">IFERROR((_xlfn.IFS(F235=$AC$15,"3",F235=$AC$16,"2",F235=$AC$17,"1",F235=$AC$18,"1"))*E235,"")</f>
        <v/>
      </c>
      <c r="H235" s="168"/>
      <c r="I235" s="186"/>
      <c r="J235" s="183" t="str">
        <f>IFERROR(H235/VLOOKUP(I235,'$ Conversion'!$A$9:$B$40,2,0),"")</f>
        <v/>
      </c>
      <c r="K235" s="212"/>
      <c r="L235" s="1271" t="str">
        <f>IFERROR(VLOOKUP(B235,Buildings!$B$9:$H$41,3,0),"")</f>
        <v/>
      </c>
      <c r="M235" s="449" t="str">
        <f>IFERROR(VLOOKUP(B235,Buildings!$B$9:$H$41,7,0),"")</f>
        <v/>
      </c>
      <c r="N235" s="1553">
        <f>IF(C235&gt;0,C235,'Carbon factors'!$E$115)</f>
        <v>0.17261000000000001</v>
      </c>
      <c r="O235" s="501">
        <f t="shared" si="18"/>
        <v>0</v>
      </c>
      <c r="P235" s="819" t="str" cm="1">
        <f t="array" ref="P235">IFERROR(_xlfn.IFS(L235="Y","Scope 2",L235="N","Scope 3",L235="Unknown","Manually Select Scope -&gt;"),"")</f>
        <v/>
      </c>
      <c r="Q235" s="1229"/>
      <c r="R235" s="674" t="str">
        <f t="shared" si="19"/>
        <v/>
      </c>
      <c r="U235" s="1297">
        <f>IF(C235="",($E235*'Carbon factors'!$F$115),"")</f>
        <v>0</v>
      </c>
      <c r="V235" s="183">
        <f>IF(C235="",($E235*'Carbon factors'!$G$115),"")</f>
        <v>0</v>
      </c>
      <c r="W235" s="1296">
        <f>IF(C235="",($E235*'Carbon factors'!$H$115),"")</f>
        <v>0</v>
      </c>
    </row>
    <row r="236" spans="1:27" x14ac:dyDescent="0.35">
      <c r="A236" s="1814"/>
      <c r="B236" s="898"/>
      <c r="C236" s="579"/>
      <c r="D236" s="165" t="s">
        <v>563</v>
      </c>
      <c r="E236" s="577"/>
      <c r="F236" s="186"/>
      <c r="G236" s="664" t="str" cm="1">
        <f t="array" ref="G236">IFERROR((_xlfn.IFS(F236=$AC$15,"3",F236=$AC$16,"2",F236=$AC$17,"1",F236=$AC$18,"1"))*E236,"")</f>
        <v/>
      </c>
      <c r="H236" s="168"/>
      <c r="I236" s="186"/>
      <c r="J236" s="183" t="str">
        <f>IFERROR(H236/VLOOKUP(I236,'$ Conversion'!$A$9:$B$40,2,0),"")</f>
        <v/>
      </c>
      <c r="K236" s="212"/>
      <c r="L236" s="1271" t="str">
        <f>IFERROR(VLOOKUP(B236,Buildings!$B$9:$H$41,3,0),"")</f>
        <v/>
      </c>
      <c r="M236" s="449" t="str">
        <f>IFERROR(VLOOKUP(B236,Buildings!$B$9:$H$41,7,0),"")</f>
        <v/>
      </c>
      <c r="N236" s="1553">
        <f>IF(C236&gt;0,C236,'Carbon factors'!$E$115)</f>
        <v>0.17261000000000001</v>
      </c>
      <c r="O236" s="501">
        <f t="shared" si="18"/>
        <v>0</v>
      </c>
      <c r="P236" s="819" t="str" cm="1">
        <f t="array" ref="P236">IFERROR(_xlfn.IFS(L236="Y","Scope 2",L236="N","Scope 3",L236="Unknown","Manually Select Scope -&gt;"),"")</f>
        <v/>
      </c>
      <c r="Q236" s="1229"/>
      <c r="R236" s="674" t="str">
        <f t="shared" si="19"/>
        <v/>
      </c>
      <c r="U236" s="1297">
        <f>IF(C236="",($E236*'Carbon factors'!$F$115),"")</f>
        <v>0</v>
      </c>
      <c r="V236" s="183">
        <f>IF(C236="",($E236*'Carbon factors'!$G$115),"")</f>
        <v>0</v>
      </c>
      <c r="W236" s="1296">
        <f>IF(C236="",($E236*'Carbon factors'!$H$115),"")</f>
        <v>0</v>
      </c>
    </row>
    <row r="237" spans="1:27" x14ac:dyDescent="0.35">
      <c r="A237" s="1814"/>
      <c r="B237" s="898"/>
      <c r="C237" s="579"/>
      <c r="D237" s="165" t="s">
        <v>563</v>
      </c>
      <c r="E237" s="577"/>
      <c r="F237" s="186"/>
      <c r="G237" s="664" t="str" cm="1">
        <f t="array" ref="G237">IFERROR((_xlfn.IFS(F237=$AC$15,"3",F237=$AC$16,"2",F237=$AC$17,"1",F237=$AC$18,"1"))*E237,"")</f>
        <v/>
      </c>
      <c r="H237" s="168"/>
      <c r="I237" s="186"/>
      <c r="J237" s="183" t="str">
        <f>IFERROR(H237/VLOOKUP(I237,'$ Conversion'!$A$9:$B$40,2,0),"")</f>
        <v/>
      </c>
      <c r="K237" s="212"/>
      <c r="L237" s="1271" t="str">
        <f>IFERROR(VLOOKUP(B237,Buildings!$B$9:$H$41,3,0),"")</f>
        <v/>
      </c>
      <c r="M237" s="449" t="str">
        <f>IFERROR(VLOOKUP(B237,Buildings!$B$9:$H$41,7,0),"")</f>
        <v/>
      </c>
      <c r="N237" s="1553">
        <f>IF(C237&gt;0,C237,'Carbon factors'!$E$115)</f>
        <v>0.17261000000000001</v>
      </c>
      <c r="O237" s="501">
        <f t="shared" si="18"/>
        <v>0</v>
      </c>
      <c r="P237" s="819" t="str" cm="1">
        <f t="array" ref="P237">IFERROR(_xlfn.IFS(L237="Y","Scope 2",L237="N","Scope 3",L237="Unknown","Manually Select Scope -&gt;"),"")</f>
        <v/>
      </c>
      <c r="Q237" s="1229"/>
      <c r="R237" s="674" t="str">
        <f t="shared" si="19"/>
        <v/>
      </c>
      <c r="U237" s="1297">
        <f>IF(C237="",($E237*'Carbon factors'!$F$115),"")</f>
        <v>0</v>
      </c>
      <c r="V237" s="183">
        <f>IF(C237="",($E237*'Carbon factors'!$G$115),"")</f>
        <v>0</v>
      </c>
      <c r="W237" s="1296">
        <f>IF(C237="",($E237*'Carbon factors'!$H$115),"")</f>
        <v>0</v>
      </c>
    </row>
    <row r="238" spans="1:27" x14ac:dyDescent="0.35">
      <c r="A238" s="1814"/>
      <c r="B238" s="898"/>
      <c r="C238" s="579"/>
      <c r="D238" s="165" t="s">
        <v>563</v>
      </c>
      <c r="E238" s="577"/>
      <c r="F238" s="186"/>
      <c r="G238" s="664" t="str" cm="1">
        <f t="array" ref="G238">IFERROR((_xlfn.IFS(F238=$AC$15,"3",F238=$AC$16,"2",F238=$AC$17,"1",F238=$AC$18,"1"))*E238,"")</f>
        <v/>
      </c>
      <c r="H238" s="168"/>
      <c r="I238" s="186"/>
      <c r="J238" s="183" t="str">
        <f>IFERROR(H238/VLOOKUP(I238,'$ Conversion'!$A$9:$B$40,2,0),"")</f>
        <v/>
      </c>
      <c r="K238" s="212"/>
      <c r="L238" s="1271" t="str">
        <f>IFERROR(VLOOKUP(B238,Buildings!$B$9:$H$41,3,0),"")</f>
        <v/>
      </c>
      <c r="M238" s="449" t="str">
        <f>IFERROR(VLOOKUP(B238,Buildings!$B$9:$H$41,7,0),"")</f>
        <v/>
      </c>
      <c r="N238" s="1553">
        <f>IF(C238&gt;0,C238,'Carbon factors'!$E$115)</f>
        <v>0.17261000000000001</v>
      </c>
      <c r="O238" s="501">
        <f t="shared" si="18"/>
        <v>0</v>
      </c>
      <c r="P238" s="819" t="str" cm="1">
        <f t="array" ref="P238">IFERROR(_xlfn.IFS(L238="Y","Scope 2",L238="N","Scope 3",L238="Unknown","Manually Select Scope -&gt;"),"")</f>
        <v/>
      </c>
      <c r="Q238" s="1229"/>
      <c r="R238" s="674" t="str">
        <f t="shared" si="19"/>
        <v/>
      </c>
      <c r="U238" s="1297">
        <f>IF(C238="",($E238*'Carbon factors'!$F$115),"")</f>
        <v>0</v>
      </c>
      <c r="V238" s="183">
        <f>IF(C238="",($E238*'Carbon factors'!$G$115),"")</f>
        <v>0</v>
      </c>
      <c r="W238" s="1296">
        <f>IF(C238="",($E238*'Carbon factors'!$H$115),"")</f>
        <v>0</v>
      </c>
    </row>
    <row r="239" spans="1:27" x14ac:dyDescent="0.35">
      <c r="A239" s="1814"/>
      <c r="B239" s="898"/>
      <c r="C239" s="579"/>
      <c r="D239" s="165" t="s">
        <v>563</v>
      </c>
      <c r="E239" s="577"/>
      <c r="F239" s="186"/>
      <c r="G239" s="664" t="str" cm="1">
        <f t="array" ref="G239">IFERROR((_xlfn.IFS(F239=$AC$15,"3",F239=$AC$16,"2",F239=$AC$17,"1",F239=$AC$18,"1"))*E239,"")</f>
        <v/>
      </c>
      <c r="H239" s="168"/>
      <c r="I239" s="186"/>
      <c r="J239" s="183" t="str">
        <f>IFERROR(H239/VLOOKUP(I239,'$ Conversion'!$A$9:$B$40,2,0),"")</f>
        <v/>
      </c>
      <c r="K239" s="212"/>
      <c r="L239" s="1271" t="str">
        <f>IFERROR(VLOOKUP(B239,Buildings!$B$9:$H$41,3,0),"")</f>
        <v/>
      </c>
      <c r="M239" s="449" t="str">
        <f>IFERROR(VLOOKUP(B239,Buildings!$B$9:$H$41,7,0),"")</f>
        <v/>
      </c>
      <c r="N239" s="1553">
        <f>IF(C239&gt;0,C239,'Carbon factors'!$E$115)</f>
        <v>0.17261000000000001</v>
      </c>
      <c r="O239" s="501">
        <f t="shared" si="18"/>
        <v>0</v>
      </c>
      <c r="P239" s="819" t="str" cm="1">
        <f t="array" ref="P239">IFERROR(_xlfn.IFS(L239="Y","Scope 2",L239="N","Scope 3",L239="Unknown","Manually Select Scope -&gt;"),"")</f>
        <v/>
      </c>
      <c r="Q239" s="1229"/>
      <c r="R239" s="674" t="str">
        <f t="shared" si="19"/>
        <v/>
      </c>
      <c r="U239" s="1297">
        <f>IF(C239="",($E239*'Carbon factors'!$F$115),"")</f>
        <v>0</v>
      </c>
      <c r="V239" s="183">
        <f>IF(C239="",($E239*'Carbon factors'!$G$115),"")</f>
        <v>0</v>
      </c>
      <c r="W239" s="1296">
        <f>IF(C239="",($E239*'Carbon factors'!$H$115),"")</f>
        <v>0</v>
      </c>
    </row>
    <row r="240" spans="1:27" x14ac:dyDescent="0.35">
      <c r="A240" s="1814"/>
      <c r="B240" s="898"/>
      <c r="C240" s="579"/>
      <c r="D240" s="165" t="s">
        <v>563</v>
      </c>
      <c r="E240" s="577"/>
      <c r="F240" s="186"/>
      <c r="G240" s="664" t="str" cm="1">
        <f t="array" ref="G240">IFERROR((_xlfn.IFS(F240=$AC$15,"3",F240=$AC$16,"2",F240=$AC$17,"1",F240=$AC$18,"1"))*E240,"")</f>
        <v/>
      </c>
      <c r="H240" s="168"/>
      <c r="I240" s="186"/>
      <c r="J240" s="183" t="str">
        <f>IFERROR(H240/VLOOKUP(I240,'$ Conversion'!$A$9:$B$40,2,0),"")</f>
        <v/>
      </c>
      <c r="K240" s="212"/>
      <c r="L240" s="1271" t="str">
        <f>IFERROR(VLOOKUP(B240,Buildings!$B$9:$H$41,3,0),"")</f>
        <v/>
      </c>
      <c r="M240" s="449" t="str">
        <f>IFERROR(VLOOKUP(B240,Buildings!$B$9:$H$41,7,0),"")</f>
        <v/>
      </c>
      <c r="N240" s="1553">
        <f>IF(C240&gt;0,C240,'Carbon factors'!$E$115)</f>
        <v>0.17261000000000001</v>
      </c>
      <c r="O240" s="501">
        <f t="shared" si="18"/>
        <v>0</v>
      </c>
      <c r="P240" s="819" t="str" cm="1">
        <f t="array" ref="P240">IFERROR(_xlfn.IFS(L240="Y","Scope 2",L240="N","Scope 3",L240="Unknown","Manually Select Scope -&gt;"),"")</f>
        <v/>
      </c>
      <c r="Q240" s="1229"/>
      <c r="R240" s="674" t="str">
        <f t="shared" si="19"/>
        <v/>
      </c>
      <c r="U240" s="1297">
        <f>IF(C240="",($E240*'Carbon factors'!$F$115),"")</f>
        <v>0</v>
      </c>
      <c r="V240" s="183">
        <f>IF(C240="",($E240*'Carbon factors'!$G$115),"")</f>
        <v>0</v>
      </c>
      <c r="W240" s="1296">
        <f>IF(C240="",($E240*'Carbon factors'!$H$115),"")</f>
        <v>0</v>
      </c>
    </row>
    <row r="241" spans="1:23" x14ac:dyDescent="0.35">
      <c r="A241" s="1814"/>
      <c r="B241" s="898"/>
      <c r="C241" s="579"/>
      <c r="D241" s="165" t="s">
        <v>563</v>
      </c>
      <c r="E241" s="577"/>
      <c r="F241" s="186"/>
      <c r="G241" s="664" t="str" cm="1">
        <f t="array" ref="G241">IFERROR((_xlfn.IFS(F241=$AC$15,"3",F241=$AC$16,"2",F241=$AC$17,"1",F241=$AC$18,"1"))*E241,"")</f>
        <v/>
      </c>
      <c r="H241" s="168"/>
      <c r="I241" s="186"/>
      <c r="J241" s="183" t="str">
        <f>IFERROR(H241/VLOOKUP(I241,'$ Conversion'!$A$9:$B$40,2,0),"")</f>
        <v/>
      </c>
      <c r="K241" s="212"/>
      <c r="L241" s="1271" t="str">
        <f>IFERROR(VLOOKUP(B241,Buildings!$B$9:$H$41,3,0),"")</f>
        <v/>
      </c>
      <c r="M241" s="449" t="str">
        <f>IFERROR(VLOOKUP(B241,Buildings!$B$9:$H$41,7,0),"")</f>
        <v/>
      </c>
      <c r="N241" s="1553">
        <f>IF(C241&gt;0,C241,'Carbon factors'!$E$115)</f>
        <v>0.17261000000000001</v>
      </c>
      <c r="O241" s="501">
        <f t="shared" si="18"/>
        <v>0</v>
      </c>
      <c r="P241" s="819" t="str" cm="1">
        <f t="array" ref="P241">IFERROR(_xlfn.IFS(L241="Y","Scope 2",L241="N","Scope 3",L241="Unknown","Manually Select Scope -&gt;"),"")</f>
        <v/>
      </c>
      <c r="Q241" s="1229"/>
      <c r="R241" s="674" t="str">
        <f t="shared" si="19"/>
        <v/>
      </c>
      <c r="U241" s="1297">
        <f>IF(C241="",($E241*'Carbon factors'!$F$115),"")</f>
        <v>0</v>
      </c>
      <c r="V241" s="183">
        <f>IF(C241="",($E241*'Carbon factors'!$G$115),"")</f>
        <v>0</v>
      </c>
      <c r="W241" s="1296">
        <f>IF(C241="",($E241*'Carbon factors'!$H$115),"")</f>
        <v>0</v>
      </c>
    </row>
    <row r="242" spans="1:23" x14ac:dyDescent="0.35">
      <c r="A242" s="1814"/>
      <c r="B242" s="898"/>
      <c r="C242" s="579"/>
      <c r="D242" s="165" t="s">
        <v>563</v>
      </c>
      <c r="E242" s="577"/>
      <c r="F242" s="186"/>
      <c r="G242" s="664" t="str" cm="1">
        <f t="array" ref="G242">IFERROR((_xlfn.IFS(F242=$AC$15,"3",F242=$AC$16,"2",F242=$AC$17,"1",F242=$AC$18,"1"))*E242,"")</f>
        <v/>
      </c>
      <c r="H242" s="168"/>
      <c r="I242" s="186"/>
      <c r="J242" s="183" t="str">
        <f>IFERROR(H242/VLOOKUP(I242,'$ Conversion'!$A$9:$B$40,2,0),"")</f>
        <v/>
      </c>
      <c r="K242" s="212"/>
      <c r="L242" s="1271" t="str">
        <f>IFERROR(VLOOKUP(B242,Buildings!$B$9:$H$41,3,0),"")</f>
        <v/>
      </c>
      <c r="M242" s="449" t="str">
        <f>IFERROR(VLOOKUP(B242,Buildings!$B$9:$H$41,7,0),"")</f>
        <v/>
      </c>
      <c r="N242" s="1553">
        <f>IF(C242&gt;0,C242,'Carbon factors'!$E$115)</f>
        <v>0.17261000000000001</v>
      </c>
      <c r="O242" s="501">
        <f t="shared" si="18"/>
        <v>0</v>
      </c>
      <c r="P242" s="819" t="str" cm="1">
        <f t="array" ref="P242">IFERROR(_xlfn.IFS(L242="Y","Scope 2",L242="N","Scope 3",L242="Unknown","Manually Select Scope -&gt;"),"")</f>
        <v/>
      </c>
      <c r="Q242" s="1229"/>
      <c r="R242" s="674" t="str">
        <f t="shared" si="19"/>
        <v/>
      </c>
      <c r="U242" s="1297">
        <f>IF(C242="",($E242*'Carbon factors'!$F$115),"")</f>
        <v>0</v>
      </c>
      <c r="V242" s="183">
        <f>IF(C242="",($E242*'Carbon factors'!$G$115),"")</f>
        <v>0</v>
      </c>
      <c r="W242" s="1296">
        <f>IF(C242="",($E242*'Carbon factors'!$H$115),"")</f>
        <v>0</v>
      </c>
    </row>
    <row r="243" spans="1:23" x14ac:dyDescent="0.35">
      <c r="A243" s="1814"/>
      <c r="B243" s="898"/>
      <c r="C243" s="579"/>
      <c r="D243" s="165" t="s">
        <v>563</v>
      </c>
      <c r="E243" s="577"/>
      <c r="F243" s="186"/>
      <c r="G243" s="664" t="str" cm="1">
        <f t="array" ref="G243">IFERROR((_xlfn.IFS(F243=$AC$15,"3",F243=$AC$16,"2",F243=$AC$17,"1",F243=$AC$18,"1"))*E243,"")</f>
        <v/>
      </c>
      <c r="H243" s="168"/>
      <c r="I243" s="186"/>
      <c r="J243" s="183" t="str">
        <f>IFERROR(H243/VLOOKUP(I243,'$ Conversion'!$A$9:$B$40,2,0),"")</f>
        <v/>
      </c>
      <c r="K243" s="212"/>
      <c r="L243" s="1271" t="str">
        <f>IFERROR(VLOOKUP(B243,Buildings!$B$9:$H$41,3,0),"")</f>
        <v/>
      </c>
      <c r="M243" s="449" t="str">
        <f>IFERROR(VLOOKUP(B243,Buildings!$B$9:$H$41,7,0),"")</f>
        <v/>
      </c>
      <c r="N243" s="1553">
        <f>IF(C243&gt;0,C243,'Carbon factors'!$E$115)</f>
        <v>0.17261000000000001</v>
      </c>
      <c r="O243" s="501">
        <f t="shared" si="18"/>
        <v>0</v>
      </c>
      <c r="P243" s="819" t="str" cm="1">
        <f t="array" ref="P243">IFERROR(_xlfn.IFS(L243="Y","Scope 2",L243="N","Scope 3",L243="Unknown","Manually Select Scope -&gt;"),"")</f>
        <v/>
      </c>
      <c r="Q243" s="1229"/>
      <c r="R243" s="674" t="str">
        <f t="shared" si="19"/>
        <v/>
      </c>
      <c r="U243" s="1297">
        <f>IF(C243="",($E243*'Carbon factors'!$F$115),"")</f>
        <v>0</v>
      </c>
      <c r="V243" s="183">
        <f>IF(C243="",($E243*'Carbon factors'!$G$115),"")</f>
        <v>0</v>
      </c>
      <c r="W243" s="1296">
        <f>IF(C243="",($E243*'Carbon factors'!$H$115),"")</f>
        <v>0</v>
      </c>
    </row>
    <row r="244" spans="1:23" x14ac:dyDescent="0.35">
      <c r="A244" s="1814"/>
      <c r="B244" s="898"/>
      <c r="C244" s="579"/>
      <c r="D244" s="165" t="s">
        <v>563</v>
      </c>
      <c r="E244" s="577"/>
      <c r="F244" s="186"/>
      <c r="G244" s="664" t="str" cm="1">
        <f t="array" ref="G244">IFERROR((_xlfn.IFS(F244=$AC$15,"3",F244=$AC$16,"2",F244=$AC$17,"1",F244=$AC$18,"1"))*E244,"")</f>
        <v/>
      </c>
      <c r="H244" s="168"/>
      <c r="I244" s="186"/>
      <c r="J244" s="183" t="str">
        <f>IFERROR(H244/VLOOKUP(I244,'$ Conversion'!$A$9:$B$40,2,0),"")</f>
        <v/>
      </c>
      <c r="K244" s="212"/>
      <c r="L244" s="1271" t="str">
        <f>IFERROR(VLOOKUP(B244,Buildings!$B$9:$H$41,3,0),"")</f>
        <v/>
      </c>
      <c r="M244" s="449" t="str">
        <f>IFERROR(VLOOKUP(B244,Buildings!$B$9:$H$41,7,0),"")</f>
        <v/>
      </c>
      <c r="N244" s="1553">
        <f>IF(C244&gt;0,C244,'Carbon factors'!$E$115)</f>
        <v>0.17261000000000001</v>
      </c>
      <c r="O244" s="501">
        <f t="shared" si="18"/>
        <v>0</v>
      </c>
      <c r="P244" s="819" t="str" cm="1">
        <f t="array" ref="P244">IFERROR(_xlfn.IFS(L244="Y","Scope 2",L244="N","Scope 3",L244="Unknown","Manually Select Scope -&gt;"),"")</f>
        <v/>
      </c>
      <c r="Q244" s="1229"/>
      <c r="R244" s="674" t="str">
        <f t="shared" si="19"/>
        <v/>
      </c>
      <c r="U244" s="1297">
        <f>IF(C244="",($E244*'Carbon factors'!$F$115),"")</f>
        <v>0</v>
      </c>
      <c r="V244" s="183">
        <f>IF(C244="",($E244*'Carbon factors'!$G$115),"")</f>
        <v>0</v>
      </c>
      <c r="W244" s="1296">
        <f>IF(C244="",($E244*'Carbon factors'!$H$115),"")</f>
        <v>0</v>
      </c>
    </row>
    <row r="245" spans="1:23" x14ac:dyDescent="0.35">
      <c r="A245" s="1814"/>
      <c r="B245" s="898"/>
      <c r="C245" s="579"/>
      <c r="D245" s="165" t="s">
        <v>563</v>
      </c>
      <c r="E245" s="577"/>
      <c r="F245" s="186"/>
      <c r="G245" s="664" t="str" cm="1">
        <f t="array" ref="G245">IFERROR((_xlfn.IFS(F245=$AC$15,"3",F245=$AC$16,"2",F245=$AC$17,"1",F245=$AC$18,"1"))*E245,"")</f>
        <v/>
      </c>
      <c r="H245" s="168"/>
      <c r="I245" s="186"/>
      <c r="J245" s="183" t="str">
        <f>IFERROR(H245/VLOOKUP(I245,'$ Conversion'!$A$9:$B$40,2,0),"")</f>
        <v/>
      </c>
      <c r="K245" s="212"/>
      <c r="L245" s="1271" t="str">
        <f>IFERROR(VLOOKUP(B245,Buildings!$B$9:$H$41,3,0),"")</f>
        <v/>
      </c>
      <c r="M245" s="449" t="str">
        <f>IFERROR(VLOOKUP(B245,Buildings!$B$9:$H$41,7,0),"")</f>
        <v/>
      </c>
      <c r="N245" s="1553">
        <f>IF(C245&gt;0,C245,'Carbon factors'!$E$115)</f>
        <v>0.17261000000000001</v>
      </c>
      <c r="O245" s="501">
        <f t="shared" si="18"/>
        <v>0</v>
      </c>
      <c r="P245" s="819" t="str" cm="1">
        <f t="array" ref="P245">IFERROR(_xlfn.IFS(L245="Y","Scope 2",L245="N","Scope 3",L245="Unknown","Manually Select Scope -&gt;"),"")</f>
        <v/>
      </c>
      <c r="Q245" s="1229"/>
      <c r="R245" s="674" t="str">
        <f t="shared" si="19"/>
        <v/>
      </c>
      <c r="U245" s="1297">
        <f>IF(C245="",($E245*'Carbon factors'!$F$115),"")</f>
        <v>0</v>
      </c>
      <c r="V245" s="183">
        <f>IF(C245="",($E245*'Carbon factors'!$G$115),"")</f>
        <v>0</v>
      </c>
      <c r="W245" s="1296">
        <f>IF(C245="",($E245*'Carbon factors'!$H$115),"")</f>
        <v>0</v>
      </c>
    </row>
    <row r="246" spans="1:23" x14ac:dyDescent="0.35">
      <c r="A246" s="1814"/>
      <c r="B246" s="898"/>
      <c r="C246" s="579"/>
      <c r="D246" s="165" t="s">
        <v>563</v>
      </c>
      <c r="E246" s="577"/>
      <c r="F246" s="186"/>
      <c r="G246" s="664" t="str" cm="1">
        <f t="array" ref="G246">IFERROR((_xlfn.IFS(F246=$AC$15,"3",F246=$AC$16,"2",F246=$AC$17,"1",F246=$AC$18,"1"))*E246,"")</f>
        <v/>
      </c>
      <c r="H246" s="168"/>
      <c r="I246" s="186"/>
      <c r="J246" s="183" t="str">
        <f>IFERROR(H246/VLOOKUP(I246,'$ Conversion'!$A$9:$B$40,2,0),"")</f>
        <v/>
      </c>
      <c r="K246" s="212"/>
      <c r="L246" s="1271" t="str">
        <f>IFERROR(VLOOKUP(B246,Buildings!$B$9:$H$41,3,0),"")</f>
        <v/>
      </c>
      <c r="M246" s="449" t="str">
        <f>IFERROR(VLOOKUP(B246,Buildings!$B$9:$H$41,7,0),"")</f>
        <v/>
      </c>
      <c r="N246" s="1553">
        <f>IF(C246&gt;0,C246,'Carbon factors'!$E$115)</f>
        <v>0.17261000000000001</v>
      </c>
      <c r="O246" s="501">
        <f t="shared" si="18"/>
        <v>0</v>
      </c>
      <c r="P246" s="819" t="str" cm="1">
        <f t="array" ref="P246">IFERROR(_xlfn.IFS(L246="Y","Scope 2",L246="N","Scope 3",L246="Unknown","Manually Select Scope -&gt;"),"")</f>
        <v/>
      </c>
      <c r="Q246" s="1229"/>
      <c r="R246" s="674" t="str">
        <f t="shared" si="19"/>
        <v/>
      </c>
      <c r="U246" s="1297">
        <f>IF(C246="",($E246*'Carbon factors'!$F$115),"")</f>
        <v>0</v>
      </c>
      <c r="V246" s="183">
        <f>IF(C246="",($E246*'Carbon factors'!$G$115),"")</f>
        <v>0</v>
      </c>
      <c r="W246" s="1296">
        <f>IF(C246="",($E246*'Carbon factors'!$H$115),"")</f>
        <v>0</v>
      </c>
    </row>
    <row r="247" spans="1:23" x14ac:dyDescent="0.35">
      <c r="A247" s="1814"/>
      <c r="B247" s="898"/>
      <c r="C247" s="579"/>
      <c r="D247" s="165" t="s">
        <v>563</v>
      </c>
      <c r="E247" s="577"/>
      <c r="F247" s="186"/>
      <c r="G247" s="664" t="str" cm="1">
        <f t="array" ref="G247">IFERROR((_xlfn.IFS(F247=$AC$15,"3",F247=$AC$16,"2",F247=$AC$17,"1",F247=$AC$18,"1"))*E247,"")</f>
        <v/>
      </c>
      <c r="H247" s="168"/>
      <c r="I247" s="186"/>
      <c r="J247" s="183" t="str">
        <f>IFERROR(H247/VLOOKUP(I247,'$ Conversion'!$A$9:$B$40,2,0),"")</f>
        <v/>
      </c>
      <c r="K247" s="212"/>
      <c r="L247" s="1271" t="str">
        <f>IFERROR(VLOOKUP(B247,Buildings!$B$9:$H$41,3,0),"")</f>
        <v/>
      </c>
      <c r="M247" s="449" t="str">
        <f>IFERROR(VLOOKUP(B247,Buildings!$B$9:$H$41,7,0),"")</f>
        <v/>
      </c>
      <c r="N247" s="1553">
        <f>IF(C247&gt;0,C247,'Carbon factors'!$E$115)</f>
        <v>0.17261000000000001</v>
      </c>
      <c r="O247" s="501">
        <f t="shared" si="18"/>
        <v>0</v>
      </c>
      <c r="P247" s="819" t="str" cm="1">
        <f t="array" ref="P247">IFERROR(_xlfn.IFS(L247="Y","Scope 2",L247="N","Scope 3",L247="Unknown","Manually Select Scope -&gt;"),"")</f>
        <v/>
      </c>
      <c r="Q247" s="1229"/>
      <c r="R247" s="674" t="str">
        <f t="shared" si="19"/>
        <v/>
      </c>
      <c r="U247" s="1297">
        <f>IF(C247="",($E247*'Carbon factors'!$F$115),"")</f>
        <v>0</v>
      </c>
      <c r="V247" s="183">
        <f>IF(C247="",($E247*'Carbon factors'!$G$115),"")</f>
        <v>0</v>
      </c>
      <c r="W247" s="1296">
        <f>IF(C247="",($E247*'Carbon factors'!$H$115),"")</f>
        <v>0</v>
      </c>
    </row>
    <row r="248" spans="1:23" x14ac:dyDescent="0.35">
      <c r="A248" s="1814"/>
      <c r="B248" s="898"/>
      <c r="C248" s="579"/>
      <c r="D248" s="165" t="s">
        <v>563</v>
      </c>
      <c r="E248" s="577"/>
      <c r="F248" s="186"/>
      <c r="G248" s="664" t="str" cm="1">
        <f t="array" ref="G248">IFERROR((_xlfn.IFS(F248=$AC$15,"3",F248=$AC$16,"2",F248=$AC$17,"1",F248=$AC$18,"1"))*E248,"")</f>
        <v/>
      </c>
      <c r="H248" s="168"/>
      <c r="I248" s="186"/>
      <c r="J248" s="183" t="str">
        <f>IFERROR(H248/VLOOKUP(I248,'$ Conversion'!$A$9:$B$40,2,0),"")</f>
        <v/>
      </c>
      <c r="K248" s="212"/>
      <c r="L248" s="1271" t="str">
        <f>IFERROR(VLOOKUP(B248,Buildings!$B$9:$H$41,3,0),"")</f>
        <v/>
      </c>
      <c r="M248" s="449" t="str">
        <f>IFERROR(VLOOKUP(B248,Buildings!$B$9:$H$41,7,0),"")</f>
        <v/>
      </c>
      <c r="N248" s="1553">
        <f>IF(C248&gt;0,C248,'Carbon factors'!$E$115)</f>
        <v>0.17261000000000001</v>
      </c>
      <c r="O248" s="501">
        <f t="shared" si="18"/>
        <v>0</v>
      </c>
      <c r="P248" s="819" t="str" cm="1">
        <f t="array" ref="P248">IFERROR(_xlfn.IFS(L248="Y","Scope 2",L248="N","Scope 3",L248="Unknown","Manually Select Scope -&gt;"),"")</f>
        <v/>
      </c>
      <c r="Q248" s="1229"/>
      <c r="R248" s="674" t="str">
        <f t="shared" si="19"/>
        <v/>
      </c>
      <c r="U248" s="1297">
        <f>IF(C248="",($E248*'Carbon factors'!$F$115),"")</f>
        <v>0</v>
      </c>
      <c r="V248" s="183">
        <f>IF(C248="",($E248*'Carbon factors'!$G$115),"")</f>
        <v>0</v>
      </c>
      <c r="W248" s="1296">
        <f>IF(C248="",($E248*'Carbon factors'!$H$115),"")</f>
        <v>0</v>
      </c>
    </row>
    <row r="249" spans="1:23" x14ac:dyDescent="0.35">
      <c r="A249" s="1814"/>
      <c r="B249" s="898"/>
      <c r="C249" s="579"/>
      <c r="D249" s="165" t="s">
        <v>563</v>
      </c>
      <c r="E249" s="577"/>
      <c r="F249" s="186"/>
      <c r="G249" s="664" t="str" cm="1">
        <f t="array" ref="G249">IFERROR((_xlfn.IFS(F249=$AC$15,"3",F249=$AC$16,"2",F249=$AC$17,"1",F249=$AC$18,"1"))*E249,"")</f>
        <v/>
      </c>
      <c r="H249" s="168"/>
      <c r="I249" s="186"/>
      <c r="J249" s="183" t="str">
        <f>IFERROR(H249/VLOOKUP(I249,'$ Conversion'!$A$9:$B$40,2,0),"")</f>
        <v/>
      </c>
      <c r="K249" s="212"/>
      <c r="L249" s="1271" t="str">
        <f>IFERROR(VLOOKUP(B249,Buildings!$B$9:$H$41,3,0),"")</f>
        <v/>
      </c>
      <c r="M249" s="449" t="str">
        <f>IFERROR(VLOOKUP(B249,Buildings!$B$9:$H$41,7,0),"")</f>
        <v/>
      </c>
      <c r="N249" s="1553">
        <f>IF(C249&gt;0,C249,'Carbon factors'!$E$115)</f>
        <v>0.17261000000000001</v>
      </c>
      <c r="O249" s="501">
        <f t="shared" si="18"/>
        <v>0</v>
      </c>
      <c r="P249" s="819" t="str" cm="1">
        <f t="array" ref="P249">IFERROR(_xlfn.IFS(L249="Y","Scope 2",L249="N","Scope 3",L249="Unknown","Manually Select Scope -&gt;"),"")</f>
        <v/>
      </c>
      <c r="Q249" s="1229"/>
      <c r="R249" s="674" t="str">
        <f t="shared" si="19"/>
        <v/>
      </c>
      <c r="U249" s="1297">
        <f>IF(C249="",($E249*'Carbon factors'!$F$115),"")</f>
        <v>0</v>
      </c>
      <c r="V249" s="183">
        <f>IF(C249="",($E249*'Carbon factors'!$G$115),"")</f>
        <v>0</v>
      </c>
      <c r="W249" s="1296">
        <f>IF(C249="",($E249*'Carbon factors'!$H$115),"")</f>
        <v>0</v>
      </c>
    </row>
    <row r="250" spans="1:23" x14ac:dyDescent="0.35">
      <c r="A250" s="1814"/>
      <c r="B250" s="898"/>
      <c r="C250" s="579"/>
      <c r="D250" s="165" t="s">
        <v>563</v>
      </c>
      <c r="E250" s="577"/>
      <c r="F250" s="186"/>
      <c r="G250" s="664" t="str" cm="1">
        <f t="array" ref="G250">IFERROR((_xlfn.IFS(F250=$AC$15,"3",F250=$AC$16,"2",F250=$AC$17,"1",F250=$AC$18,"1"))*E250,"")</f>
        <v/>
      </c>
      <c r="H250" s="168"/>
      <c r="I250" s="186"/>
      <c r="J250" s="183" t="str">
        <f>IFERROR(H250/VLOOKUP(I250,'$ Conversion'!$A$9:$B$40,2,0),"")</f>
        <v/>
      </c>
      <c r="K250" s="212"/>
      <c r="L250" s="1271" t="str">
        <f>IFERROR(VLOOKUP(B250,Buildings!$B$9:$H$41,3,0),"")</f>
        <v/>
      </c>
      <c r="M250" s="449" t="str">
        <f>IFERROR(VLOOKUP(B250,Buildings!$B$9:$H$41,7,0),"")</f>
        <v/>
      </c>
      <c r="N250" s="1553">
        <f>IF(C250&gt;0,C250,'Carbon factors'!$E$115)</f>
        <v>0.17261000000000001</v>
      </c>
      <c r="O250" s="501">
        <f t="shared" si="18"/>
        <v>0</v>
      </c>
      <c r="P250" s="819" t="str" cm="1">
        <f t="array" ref="P250">IFERROR(_xlfn.IFS(L250="Y","Scope 2",L250="N","Scope 3",L250="Unknown","Manually Select Scope -&gt;"),"")</f>
        <v/>
      </c>
      <c r="Q250" s="1229"/>
      <c r="R250" s="674" t="str">
        <f t="shared" si="19"/>
        <v/>
      </c>
      <c r="U250" s="1297">
        <f>IF(C250="",($E250*'Carbon factors'!$F$115),"")</f>
        <v>0</v>
      </c>
      <c r="V250" s="183">
        <f>IF(C250="",($E250*'Carbon factors'!$G$115),"")</f>
        <v>0</v>
      </c>
      <c r="W250" s="1296">
        <f>IF(C250="",($E250*'Carbon factors'!$H$115),"")</f>
        <v>0</v>
      </c>
    </row>
    <row r="251" spans="1:23" x14ac:dyDescent="0.35">
      <c r="A251" s="1814"/>
      <c r="B251" s="898"/>
      <c r="C251" s="579"/>
      <c r="D251" s="165" t="s">
        <v>563</v>
      </c>
      <c r="E251" s="577"/>
      <c r="F251" s="186"/>
      <c r="G251" s="664" t="str" cm="1">
        <f t="array" ref="G251">IFERROR((_xlfn.IFS(F251=$AC$15,"3",F251=$AC$16,"2",F251=$AC$17,"1",F251=$AC$18,"1"))*E251,"")</f>
        <v/>
      </c>
      <c r="H251" s="168"/>
      <c r="I251" s="186"/>
      <c r="J251" s="183" t="str">
        <f>IFERROR(H251/VLOOKUP(I251,'$ Conversion'!$A$9:$B$40,2,0),"")</f>
        <v/>
      </c>
      <c r="K251" s="212"/>
      <c r="L251" s="1271" t="str">
        <f>IFERROR(VLOOKUP(B251,Buildings!$B$9:$H$41,3,0),"")</f>
        <v/>
      </c>
      <c r="M251" s="449" t="str">
        <f>IFERROR(VLOOKUP(B251,Buildings!$B$9:$H$41,7,0),"")</f>
        <v/>
      </c>
      <c r="N251" s="1553">
        <f>IF(C251&gt;0,C251,'Carbon factors'!$E$115)</f>
        <v>0.17261000000000001</v>
      </c>
      <c r="O251" s="501">
        <f t="shared" si="18"/>
        <v>0</v>
      </c>
      <c r="P251" s="819" t="str" cm="1">
        <f t="array" ref="P251">IFERROR(_xlfn.IFS(L251="Y","Scope 2",L251="N","Scope 3",L251="Unknown","Manually Select Scope -&gt;"),"")</f>
        <v/>
      </c>
      <c r="Q251" s="1229"/>
      <c r="R251" s="674" t="str">
        <f t="shared" si="19"/>
        <v/>
      </c>
      <c r="U251" s="1297">
        <f>IF(C251="",($E251*'Carbon factors'!$F$115),"")</f>
        <v>0</v>
      </c>
      <c r="V251" s="183">
        <f>IF(C251="",($E251*'Carbon factors'!$G$115),"")</f>
        <v>0</v>
      </c>
      <c r="W251" s="1296">
        <f>IF(C251="",($E251*'Carbon factors'!$H$115),"")</f>
        <v>0</v>
      </c>
    </row>
    <row r="252" spans="1:23" x14ac:dyDescent="0.35">
      <c r="A252" s="1814"/>
      <c r="B252" s="898"/>
      <c r="C252" s="579"/>
      <c r="D252" s="165" t="s">
        <v>563</v>
      </c>
      <c r="E252" s="577"/>
      <c r="F252" s="186"/>
      <c r="G252" s="664" t="str" cm="1">
        <f t="array" ref="G252">IFERROR((_xlfn.IFS(F252=$AC$15,"3",F252=$AC$16,"2",F252=$AC$17,"1",F252=$AC$18,"1"))*E252,"")</f>
        <v/>
      </c>
      <c r="H252" s="168"/>
      <c r="I252" s="186"/>
      <c r="J252" s="183" t="str">
        <f>IFERROR(H252/VLOOKUP(I252,'$ Conversion'!$A$9:$B$40,2,0),"")</f>
        <v/>
      </c>
      <c r="K252" s="212"/>
      <c r="L252" s="1271" t="str">
        <f>IFERROR(VLOOKUP(B252,Buildings!$B$9:$H$41,3,0),"")</f>
        <v/>
      </c>
      <c r="M252" s="449" t="str">
        <f>IFERROR(VLOOKUP(B252,Buildings!$B$9:$H$41,7,0),"")</f>
        <v/>
      </c>
      <c r="N252" s="1553">
        <f>IF(C252&gt;0,C252,'Carbon factors'!$E$115)</f>
        <v>0.17261000000000001</v>
      </c>
      <c r="O252" s="501">
        <f t="shared" si="18"/>
        <v>0</v>
      </c>
      <c r="P252" s="819" t="str" cm="1">
        <f t="array" ref="P252">IFERROR(_xlfn.IFS(L252="Y","Scope 2",L252="N","Scope 3",L252="Unknown","Manually Select Scope -&gt;"),"")</f>
        <v/>
      </c>
      <c r="Q252" s="1229"/>
      <c r="R252" s="674" t="str">
        <f t="shared" si="19"/>
        <v/>
      </c>
      <c r="U252" s="1297">
        <f>IF(C252="",($E252*'Carbon factors'!$F$115),"")</f>
        <v>0</v>
      </c>
      <c r="V252" s="183">
        <f>IF(C252="",($E252*'Carbon factors'!$G$115),"")</f>
        <v>0</v>
      </c>
      <c r="W252" s="1296">
        <f>IF(C252="",($E252*'Carbon factors'!$H$115),"")</f>
        <v>0</v>
      </c>
    </row>
    <row r="253" spans="1:23" x14ac:dyDescent="0.35">
      <c r="A253" s="1814"/>
      <c r="B253" s="898"/>
      <c r="C253" s="579"/>
      <c r="D253" s="165" t="s">
        <v>563</v>
      </c>
      <c r="E253" s="577"/>
      <c r="F253" s="186"/>
      <c r="G253" s="664" t="str" cm="1">
        <f t="array" ref="G253">IFERROR((_xlfn.IFS(F253=$AC$15,"3",F253=$AC$16,"2",F253=$AC$17,"1",F253=$AC$18,"1"))*E253,"")</f>
        <v/>
      </c>
      <c r="H253" s="168"/>
      <c r="I253" s="186"/>
      <c r="J253" s="183" t="str">
        <f>IFERROR(H253/VLOOKUP(I253,'$ Conversion'!$A$9:$B$40,2,0),"")</f>
        <v/>
      </c>
      <c r="K253" s="212"/>
      <c r="L253" s="1271" t="str">
        <f>IFERROR(VLOOKUP(B253,Buildings!$B$9:$H$41,3,0),"")</f>
        <v/>
      </c>
      <c r="M253" s="449" t="str">
        <f>IFERROR(VLOOKUP(B253,Buildings!$B$9:$H$41,7,0),"")</f>
        <v/>
      </c>
      <c r="N253" s="1553">
        <f>IF(C253&gt;0,C253,'Carbon factors'!$E$115)</f>
        <v>0.17261000000000001</v>
      </c>
      <c r="O253" s="501">
        <f t="shared" si="18"/>
        <v>0</v>
      </c>
      <c r="P253" s="819" t="str" cm="1">
        <f t="array" ref="P253">IFERROR(_xlfn.IFS(L253="Y","Scope 2",L253="N","Scope 3",L253="Unknown","Manually Select Scope -&gt;"),"")</f>
        <v/>
      </c>
      <c r="Q253" s="1229"/>
      <c r="R253" s="674" t="str">
        <f t="shared" si="19"/>
        <v/>
      </c>
      <c r="U253" s="1297">
        <f>IF(C253="",($E253*'Carbon factors'!$F$115),"")</f>
        <v>0</v>
      </c>
      <c r="V253" s="183">
        <f>IF(C253="",($E253*'Carbon factors'!$G$115),"")</f>
        <v>0</v>
      </c>
      <c r="W253" s="1296">
        <f>IF(C253="",($E253*'Carbon factors'!$H$115),"")</f>
        <v>0</v>
      </c>
    </row>
    <row r="254" spans="1:23" x14ac:dyDescent="0.35">
      <c r="A254" s="1814"/>
      <c r="B254" s="898"/>
      <c r="C254" s="579"/>
      <c r="D254" s="165" t="s">
        <v>563</v>
      </c>
      <c r="E254" s="577"/>
      <c r="F254" s="186"/>
      <c r="G254" s="664" t="str" cm="1">
        <f t="array" ref="G254">IFERROR((_xlfn.IFS(F254=$AC$15,"3",F254=$AC$16,"2",F254=$AC$17,"1",F254=$AC$18,"1"))*E254,"")</f>
        <v/>
      </c>
      <c r="H254" s="168"/>
      <c r="I254" s="186"/>
      <c r="J254" s="183" t="str">
        <f>IFERROR(H254/VLOOKUP(I254,'$ Conversion'!$A$9:$B$40,2,0),"")</f>
        <v/>
      </c>
      <c r="K254" s="212"/>
      <c r="L254" s="1271" t="str">
        <f>IFERROR(VLOOKUP(B254,Buildings!$B$9:$H$41,3,0),"")</f>
        <v/>
      </c>
      <c r="M254" s="449" t="str">
        <f>IFERROR(VLOOKUP(B254,Buildings!$B$9:$H$41,7,0),"")</f>
        <v/>
      </c>
      <c r="N254" s="1553">
        <f>IF(C254&gt;0,C254,'Carbon factors'!$E$115)</f>
        <v>0.17261000000000001</v>
      </c>
      <c r="O254" s="501">
        <f t="shared" si="18"/>
        <v>0</v>
      </c>
      <c r="P254" s="819" t="str" cm="1">
        <f t="array" ref="P254">IFERROR(_xlfn.IFS(L254="Y","Scope 2",L254="N","Scope 3",L254="Unknown","Manually Select Scope -&gt;"),"")</f>
        <v/>
      </c>
      <c r="Q254" s="1229"/>
      <c r="R254" s="674" t="str">
        <f t="shared" si="19"/>
        <v/>
      </c>
      <c r="U254" s="1297">
        <f>IF(C254="",($E254*'Carbon factors'!$F$115),"")</f>
        <v>0</v>
      </c>
      <c r="V254" s="183">
        <f>IF(C254="",($E254*'Carbon factors'!$G$115),"")</f>
        <v>0</v>
      </c>
      <c r="W254" s="1296">
        <f>IF(C254="",($E254*'Carbon factors'!$H$115),"")</f>
        <v>0</v>
      </c>
    </row>
    <row r="255" spans="1:23" x14ac:dyDescent="0.35">
      <c r="A255" s="1814"/>
      <c r="B255" s="898"/>
      <c r="C255" s="579"/>
      <c r="D255" s="165" t="s">
        <v>563</v>
      </c>
      <c r="E255" s="577"/>
      <c r="F255" s="186"/>
      <c r="G255" s="664" t="str" cm="1">
        <f t="array" ref="G255">IFERROR((_xlfn.IFS(F255=$AC$15,"3",F255=$AC$16,"2",F255=$AC$17,"1",F255=$AC$18,"1"))*E255,"")</f>
        <v/>
      </c>
      <c r="H255" s="168"/>
      <c r="I255" s="186"/>
      <c r="J255" s="183" t="str">
        <f>IFERROR(H255/VLOOKUP(I255,'$ Conversion'!$A$9:$B$40,2,0),"")</f>
        <v/>
      </c>
      <c r="K255" s="212"/>
      <c r="L255" s="1271" t="str">
        <f>IFERROR(VLOOKUP(B255,Buildings!$B$9:$H$41,3,0),"")</f>
        <v/>
      </c>
      <c r="M255" s="449" t="str">
        <f>IFERROR(VLOOKUP(B255,Buildings!$B$9:$H$41,7,0),"")</f>
        <v/>
      </c>
      <c r="N255" s="1553">
        <f>IF(C255&gt;0,C255,'Carbon factors'!$E$115)</f>
        <v>0.17261000000000001</v>
      </c>
      <c r="O255" s="501">
        <f t="shared" si="18"/>
        <v>0</v>
      </c>
      <c r="P255" s="819" t="str" cm="1">
        <f t="array" ref="P255">IFERROR(_xlfn.IFS(L255="Y","Scope 2",L255="N","Scope 3",L255="Unknown","Manually Select Scope -&gt;"),"")</f>
        <v/>
      </c>
      <c r="Q255" s="1229"/>
      <c r="R255" s="674" t="str">
        <f t="shared" si="19"/>
        <v/>
      </c>
      <c r="U255" s="1297">
        <f>IF(C255="",($E255*'Carbon factors'!$F$115),"")</f>
        <v>0</v>
      </c>
      <c r="V255" s="183">
        <f>IF(C255="",($E255*'Carbon factors'!$G$115),"")</f>
        <v>0</v>
      </c>
      <c r="W255" s="1296">
        <f>IF(C255="",($E255*'Carbon factors'!$H$115),"")</f>
        <v>0</v>
      </c>
    </row>
    <row r="256" spans="1:23" x14ac:dyDescent="0.35">
      <c r="A256" s="1814"/>
      <c r="B256" s="898"/>
      <c r="C256" s="579"/>
      <c r="D256" s="165" t="s">
        <v>563</v>
      </c>
      <c r="E256" s="577"/>
      <c r="F256" s="186"/>
      <c r="G256" s="664" t="str" cm="1">
        <f t="array" ref="G256">IFERROR((_xlfn.IFS(F256=$AC$15,"3",F256=$AC$16,"2",F256=$AC$17,"1",F256=$AC$18,"1"))*E256,"")</f>
        <v/>
      </c>
      <c r="H256" s="168"/>
      <c r="I256" s="186"/>
      <c r="J256" s="183" t="str">
        <f>IFERROR(H256/VLOOKUP(I256,'$ Conversion'!$A$9:$B$40,2,0),"")</f>
        <v/>
      </c>
      <c r="K256" s="212"/>
      <c r="L256" s="1271" t="str">
        <f>IFERROR(VLOOKUP(B256,Buildings!$B$9:$H$41,3,0),"")</f>
        <v/>
      </c>
      <c r="M256" s="449" t="str">
        <f>IFERROR(VLOOKUP(B256,Buildings!$B$9:$H$41,7,0),"")</f>
        <v/>
      </c>
      <c r="N256" s="1553">
        <f>IF(C256&gt;0,C256,'Carbon factors'!$E$115)</f>
        <v>0.17261000000000001</v>
      </c>
      <c r="O256" s="501">
        <f t="shared" si="18"/>
        <v>0</v>
      </c>
      <c r="P256" s="819" t="str" cm="1">
        <f t="array" ref="P256">IFERROR(_xlfn.IFS(L256="Y","Scope 2",L256="N","Scope 3",L256="Unknown","Manually Select Scope -&gt;"),"")</f>
        <v/>
      </c>
      <c r="Q256" s="1229"/>
      <c r="R256" s="674" t="str">
        <f t="shared" si="19"/>
        <v/>
      </c>
      <c r="U256" s="1297">
        <f>IF(C256="",($E256*'Carbon factors'!$F$115),"")</f>
        <v>0</v>
      </c>
      <c r="V256" s="183">
        <f>IF(C256="",($E256*'Carbon factors'!$G$115),"")</f>
        <v>0</v>
      </c>
      <c r="W256" s="1296">
        <f>IF(C256="",($E256*'Carbon factors'!$H$115),"")</f>
        <v>0</v>
      </c>
    </row>
    <row r="257" spans="1:23" x14ac:dyDescent="0.35">
      <c r="A257" s="1814"/>
      <c r="B257" s="898"/>
      <c r="C257" s="579"/>
      <c r="D257" s="165" t="s">
        <v>563</v>
      </c>
      <c r="E257" s="577"/>
      <c r="F257" s="186"/>
      <c r="G257" s="664" t="str" cm="1">
        <f t="array" ref="G257">IFERROR((_xlfn.IFS(F257=$AC$15,"3",F257=$AC$16,"2",F257=$AC$17,"1",F257=$AC$18,"1"))*E257,"")</f>
        <v/>
      </c>
      <c r="H257" s="168"/>
      <c r="I257" s="186"/>
      <c r="J257" s="183" t="str">
        <f>IFERROR(H257/VLOOKUP(I257,'$ Conversion'!$A$9:$B$40,2,0),"")</f>
        <v/>
      </c>
      <c r="K257" s="212"/>
      <c r="L257" s="1271" t="str">
        <f>IFERROR(VLOOKUP(B257,Buildings!$B$9:$H$41,3,0),"")</f>
        <v/>
      </c>
      <c r="M257" s="449" t="str">
        <f>IFERROR(VLOOKUP(B257,Buildings!$B$9:$H$41,7,0),"")</f>
        <v/>
      </c>
      <c r="N257" s="1553">
        <f>IF(C257&gt;0,C257,'Carbon factors'!$E$115)</f>
        <v>0.17261000000000001</v>
      </c>
      <c r="O257" s="501">
        <f t="shared" si="18"/>
        <v>0</v>
      </c>
      <c r="P257" s="819" t="str" cm="1">
        <f t="array" ref="P257">IFERROR(_xlfn.IFS(L257="Y","Scope 2",L257="N","Scope 3",L257="Unknown","Manually Select Scope -&gt;"),"")</f>
        <v/>
      </c>
      <c r="Q257" s="1229"/>
      <c r="R257" s="674" t="str">
        <f>IFERROR((J257*E257),"")</f>
        <v/>
      </c>
      <c r="U257" s="1297">
        <f>IF(C257="",($E257*'Carbon factors'!$F$115),"")</f>
        <v>0</v>
      </c>
      <c r="V257" s="183">
        <f>IF(C257="",($E257*'Carbon factors'!$G$115),"")</f>
        <v>0</v>
      </c>
      <c r="W257" s="1296">
        <f>IF(C257="",($E257*'Carbon factors'!$H$115),"")</f>
        <v>0</v>
      </c>
    </row>
    <row r="258" spans="1:23" ht="15" thickBot="1" x14ac:dyDescent="0.4">
      <c r="A258" s="1824"/>
      <c r="B258" s="899"/>
      <c r="C258" s="580"/>
      <c r="D258" s="182" t="s">
        <v>563</v>
      </c>
      <c r="E258" s="575"/>
      <c r="F258" s="188"/>
      <c r="G258" s="667" t="str" cm="1">
        <f t="array" ref="G258">IFERROR((_xlfn.IFS(F258=$AC$15,"3",F258=$AC$16,"2",F258=$AC$17,"1",F258=$AC$18,"1"))*E258,"")</f>
        <v/>
      </c>
      <c r="H258" s="187"/>
      <c r="I258" s="188"/>
      <c r="J258" s="184" t="str">
        <f>IFERROR(H258/VLOOKUP(I258,'$ Conversion'!$A$9:$B$40,2,0),"")</f>
        <v/>
      </c>
      <c r="K258" s="213"/>
      <c r="L258" s="1272" t="str">
        <f>IFERROR(VLOOKUP(B258,Buildings!$B$9:$H$41,3,0),"")</f>
        <v/>
      </c>
      <c r="M258" s="1259" t="str">
        <f>IFERROR(VLOOKUP(B258,Buildings!$B$9:$H$41,7,0),"")</f>
        <v/>
      </c>
      <c r="N258" s="1554">
        <f>IF(C258&gt;0,C258,'Carbon factors'!$E$115)</f>
        <v>0.17261000000000001</v>
      </c>
      <c r="O258" s="502">
        <f t="shared" si="18"/>
        <v>0</v>
      </c>
      <c r="P258" s="1239" t="str" cm="1">
        <f t="array" ref="P258">IFERROR(_xlfn.IFS(L258="Y","Scope 2",L258="N","Scope 3",L258="Unknown","Manually Select Scope -&gt;"),"")</f>
        <v/>
      </c>
      <c r="Q258" s="1260"/>
      <c r="R258" s="675" t="str">
        <f>IFERROR((J258*E258),"")</f>
        <v/>
      </c>
      <c r="U258" s="1455">
        <f>IF(C258="",($E258*'Carbon factors'!$F$115),"")</f>
        <v>0</v>
      </c>
      <c r="V258" s="184">
        <f>IF(C258="",($E258*'Carbon factors'!$G$115),"")</f>
        <v>0</v>
      </c>
      <c r="W258" s="1456">
        <f>IF(C258="",($E258*'Carbon factors'!$H$115),"")</f>
        <v>0</v>
      </c>
    </row>
  </sheetData>
  <sheetProtection algorithmName="SHA-512" hashValue="3S+kibV/DUK9ZuNqtrJ/ppof07+VxutgPeqN3UO5Lz9VPAuSNywH/uO+IKNNOd1XQ1jcY0eHfrvwkZrDdvpSlw==" saltValue="34lDrB0qUf5eloaLgJ1MWQ==" spinCount="100000" sheet="1" objects="1" scenarios="1"/>
  <protectedRanges>
    <protectedRange sqref="B49:B78 E49:F78 H49:K78 Q49:Q78" name="renewable elec"/>
    <protectedRange sqref="I2" name="Range1"/>
    <protectedRange sqref="Q16:Q46 B16:B46 E16:F46 H16:I46 K16:K46 I2" name="grid elec"/>
    <protectedRange sqref="Q113:Q142 Q81:Q110 H10 B81:F110 H81:I110 K81:K110 K113:K142 H113:I142 B113:F142" name="gas"/>
    <protectedRange sqref="Q145:Q174 H10 B145:F174 H145:I174 K145:K174 Q229:Q258 H229:I258 K229:K258 B229:F258" name="solid"/>
    <protectedRange sqref="Q177:Q226 H10 B177:F226 H177:I226" name="liquid"/>
    <protectedRange sqref="K177:K226" name="Range2_2_1_1"/>
    <protectedRange sqref="B229:C258 H229:I258 K229:K258 Q229:Q258 E229:F258" name="Heat networks"/>
  </protectedRanges>
  <mergeCells count="20">
    <mergeCell ref="K6:P8"/>
    <mergeCell ref="A228:A258"/>
    <mergeCell ref="H2:H4"/>
    <mergeCell ref="D6:F8"/>
    <mergeCell ref="D9:F9"/>
    <mergeCell ref="I6:I8"/>
    <mergeCell ref="J6:J8"/>
    <mergeCell ref="H6:H8"/>
    <mergeCell ref="A1:B1"/>
    <mergeCell ref="I2:P4"/>
    <mergeCell ref="A2:F2"/>
    <mergeCell ref="A3:F3"/>
    <mergeCell ref="A4:F4"/>
    <mergeCell ref="Y13:AE13"/>
    <mergeCell ref="A15:A46"/>
    <mergeCell ref="A48:A78"/>
    <mergeCell ref="A176:A226"/>
    <mergeCell ref="A144:A174"/>
    <mergeCell ref="A112:A142"/>
    <mergeCell ref="A80:A110"/>
  </mergeCells>
  <phoneticPr fontId="10" type="noConversion"/>
  <conditionalFormatting sqref="N16:N46">
    <cfRule type="containsText" dxfId="81" priority="8" operator="containsText" text="No factor avaliable">
      <formula>NOT(ISERROR(SEARCH("No factor avaliable",N16)))</formula>
    </cfRule>
  </conditionalFormatting>
  <conditionalFormatting sqref="N113:N142">
    <cfRule type="cellIs" dxfId="80" priority="15" operator="equal">
      <formula>"No factor, use litres, kg or m3"</formula>
    </cfRule>
  </conditionalFormatting>
  <conditionalFormatting sqref="N145:N174">
    <cfRule type="cellIs" dxfId="79" priority="14" operator="equal">
      <formula>"Provide details of fuel in notes"</formula>
    </cfRule>
  </conditionalFormatting>
  <conditionalFormatting sqref="N229:N258">
    <cfRule type="cellIs" dxfId="78" priority="5" operator="equal">
      <formula>"Provide details of fuel in notes"</formula>
    </cfRule>
  </conditionalFormatting>
  <conditionalFormatting sqref="O16:O46 O49:O78 O81:O110 O113:O142 O145:O174 O177:O226">
    <cfRule type="colorScale" priority="13">
      <colorScale>
        <cfvo type="min"/>
        <cfvo type="percentile" val="50"/>
        <cfvo type="max"/>
        <color rgb="FF00B050"/>
        <color rgb="FFFFEB84"/>
        <color rgb="FFFF0000"/>
      </colorScale>
    </cfRule>
  </conditionalFormatting>
  <conditionalFormatting sqref="O16:O46 O49:O78">
    <cfRule type="cellIs" dxfId="77" priority="12" operator="lessThan">
      <formula>0.000001</formula>
    </cfRule>
  </conditionalFormatting>
  <conditionalFormatting sqref="O229:O258">
    <cfRule type="cellIs" dxfId="76" priority="1" operator="lessThan">
      <formula>0.0000001</formula>
    </cfRule>
    <cfRule type="colorScale" priority="4">
      <colorScale>
        <cfvo type="min"/>
        <cfvo type="percentile" val="50"/>
        <cfvo type="max"/>
        <color rgb="FF00B050"/>
        <color rgb="FFFFEB84"/>
        <color rgb="FFFF0000"/>
      </colorScale>
    </cfRule>
  </conditionalFormatting>
  <conditionalFormatting sqref="P16:P258">
    <cfRule type="expression" dxfId="75" priority="2">
      <formula>P16="Manually Select Scope -&gt;"</formula>
    </cfRule>
  </conditionalFormatting>
  <conditionalFormatting sqref="P16:Q16">
    <cfRule type="containsErrors" dxfId="74" priority="32">
      <formula>ISERROR(P16)</formula>
    </cfRule>
  </conditionalFormatting>
  <conditionalFormatting sqref="P16:Q46 P113:Q142">
    <cfRule type="containsText" dxfId="73" priority="30" operator="containsText" text="Select Scope from dropdown">
      <formula>NOT(ISERROR(SEARCH("Select Scope from dropdown",P16)))</formula>
    </cfRule>
    <cfRule type="cellIs" dxfId="72" priority="31" operator="equal">
      <formula>"Select Scope from dropdown"</formula>
    </cfRule>
  </conditionalFormatting>
  <conditionalFormatting sqref="P81:Q110">
    <cfRule type="containsText" dxfId="71" priority="20" operator="containsText" text="Select Scope from dropdown">
      <formula>NOT(ISERROR(SEARCH("Select Scope from dropdown",P81)))</formula>
    </cfRule>
    <cfRule type="cellIs" dxfId="70" priority="21" operator="equal">
      <formula>"Select Scope from dropdown"</formula>
    </cfRule>
  </conditionalFormatting>
  <conditionalFormatting sqref="P145:Q174">
    <cfRule type="containsText" dxfId="69" priority="16" operator="containsText" text="Select Scope from dropdown">
      <formula>NOT(ISERROR(SEARCH("Select Scope from dropdown",P145)))</formula>
    </cfRule>
    <cfRule type="cellIs" dxfId="68" priority="17" operator="equal">
      <formula>"Select Scope from dropdown"</formula>
    </cfRule>
  </conditionalFormatting>
  <conditionalFormatting sqref="P177:Q226">
    <cfRule type="containsText" dxfId="67" priority="22" operator="containsText" text="Select Scope from dropdown">
      <formula>NOT(ISERROR(SEARCH("Select Scope from dropdown",P177)))</formula>
    </cfRule>
    <cfRule type="cellIs" dxfId="66" priority="23" operator="equal">
      <formula>"Select Scope from dropdown"</formula>
    </cfRule>
  </conditionalFormatting>
  <conditionalFormatting sqref="P229:Q258">
    <cfRule type="containsText" dxfId="65" priority="6" operator="containsText" text="Select Scope from dropdown">
      <formula>NOT(ISERROR(SEARCH("Select Scope from dropdown",P229)))</formula>
    </cfRule>
    <cfRule type="cellIs" dxfId="64" priority="7" operator="equal">
      <formula>"Select Scope from dropdown"</formula>
    </cfRule>
  </conditionalFormatting>
  <conditionalFormatting sqref="Q16:Q46 Q81:Q101 Q113:Q142 Q145:Q174 Q177:Q226">
    <cfRule type="expression" dxfId="63" priority="10">
      <formula>P16="Manually Select Scope -&gt;"</formula>
    </cfRule>
  </conditionalFormatting>
  <conditionalFormatting sqref="Q229:Q258">
    <cfRule type="expression" dxfId="62" priority="3">
      <formula>P229="Manually Select Scope -&gt;"</formula>
    </cfRule>
  </conditionalFormatting>
  <dataValidations count="14">
    <dataValidation type="list" allowBlank="1" showInputMessage="1" showErrorMessage="1" sqref="D145:D174 D229:D258" xr:uid="{19FD07C6-C533-4D4A-80FE-ED0BB6375956}">
      <formula1>$Y$15:$Y$16</formula1>
    </dataValidation>
    <dataValidation type="list" allowBlank="1" showInputMessage="1" showErrorMessage="1" sqref="C113:C142" xr:uid="{72129601-BB02-4A0D-817A-D51719BDC38D}">
      <formula1>$Z$18:$Z$23</formula1>
    </dataValidation>
    <dataValidation type="list" allowBlank="1" showInputMessage="1" showErrorMessage="1" sqref="D81:D110" xr:uid="{2D8A3467-9E92-4178-9994-ED949DC8B0B8}">
      <formula1>$Y$15:$Y$18</formula1>
    </dataValidation>
    <dataValidation type="list" allowBlank="1" showInputMessage="1" showErrorMessage="1" sqref="C145:C174" xr:uid="{726AD828-8CE7-4E02-9E9D-C10805AC6162}">
      <formula1>$AA$15:$AA$21</formula1>
    </dataValidation>
    <dataValidation type="list" allowBlank="1" showInputMessage="1" showErrorMessage="1" sqref="F145:F174 F229:F258 F177:F226 F113:F142 F16:F46 F49:F78 F81:F110" xr:uid="{A97DDC08-44CA-4512-AD9F-68E2A5CB7C92}">
      <formula1>$AC$15:$AC$18</formula1>
    </dataValidation>
    <dataValidation type="list" allowBlank="1" showInputMessage="1" showErrorMessage="1" sqref="C81:C110" xr:uid="{45D1E533-2830-4A8D-9772-5E1CABABB8E4}">
      <formula1>$Z$15:$Z$17</formula1>
    </dataValidation>
    <dataValidation type="list" allowBlank="1" showInputMessage="1" showErrorMessage="1" sqref="D113:D142 D177:D226" xr:uid="{5590E66C-F5CD-4CE5-9728-2CA79E0ACCBB}">
      <formula1>$Y$15:$Y$17</formula1>
    </dataValidation>
    <dataValidation type="list" allowBlank="1" showInputMessage="1" showErrorMessage="1" sqref="Q16:Q46 Q229:Q258" xr:uid="{86D6933D-3B17-4CBD-A240-C58D95BD474C}">
      <formula1>$AD$15:$AD$19</formula1>
    </dataValidation>
    <dataValidation type="list" allowBlank="1" showInputMessage="1" showErrorMessage="1" sqref="Q145:Q174 Q177:Q226 Q81:Q110 Q113:Q142" xr:uid="{90B9ACE7-CFC7-4994-A6A2-2C84670D71A1}">
      <formula1>$AD$16:$AD$19</formula1>
    </dataValidation>
    <dataValidation type="list" allowBlank="1" showInputMessage="1" showErrorMessage="1" sqref="H49:H78" xr:uid="{7E045B0A-D5B6-478B-A66F-F9A52460F6E1}">
      <formula1>$AE$15:$AE$20</formula1>
    </dataValidation>
    <dataValidation type="list" allowBlank="1" showInputMessage="1" showErrorMessage="1" sqref="C177:C226" xr:uid="{981A2AC0-0A2D-48F7-9F39-45AF95C6BD61}">
      <formula1>$AB$15:$AB$25</formula1>
    </dataValidation>
    <dataValidation type="decimal" allowBlank="1" showInputMessage="1" showErrorMessage="1" errorTitle="Percentage only" error="Enter a number between 0 and 100" sqref="K177:K226" xr:uid="{69A29882-B7A6-4579-9820-E097CEE047DA}">
      <formula1>0</formula1>
      <formula2>100</formula2>
    </dataValidation>
    <dataValidation type="decimal" allowBlank="1" showInputMessage="1" showErrorMessage="1" sqref="C229:C258" xr:uid="{C1641CE1-A8D7-4CE1-B235-4914F9C6678B}">
      <formula1>0</formula1>
      <formula2>10</formula2>
    </dataValidation>
    <dataValidation type="decimal" allowBlank="1" showInputMessage="1" showErrorMessage="1" errorTitle="Number only" error="Enter a number only" sqref="E229:E258 H229:H258 H177:H226 E177:E226 E145:E174 H145:H174 H113:H142 E113:E142 E81:E110 H81:H110 E49:E78 I49:J78 H16:H46 E16:E46 K16:K46" xr:uid="{55B67A4F-66A5-4343-857A-60C60CA331C7}">
      <formula1>0</formula1>
      <formula2>100000000000</formula2>
    </dataValidation>
  </dataValidations>
  <hyperlinks>
    <hyperlink ref="J6" r:id="rId1" xr:uid="{662935DD-8765-46D1-8AE4-1CF0340688FA}"/>
    <hyperlink ref="A12" location="Energy!A14" display="Table 1: Grid supplied electricity" xr:uid="{BE8FE086-A2FC-451C-99BB-A06638D45DA3}"/>
    <hyperlink ref="B12" location="Energy!A47" display="Table 2: Renewable electricity generated " xr:uid="{17551280-4DE1-4353-A418-F5310137F2D8}"/>
    <hyperlink ref="C12" location="Energy!A79" display="Table 3: Grid supplied gas" xr:uid="{648F92D0-0270-408D-A346-72BA5795A910}"/>
    <hyperlink ref="D12" location="Energy!A111" display="Table 4: Gas cylinders or tanks" xr:uid="{BDCFEA7A-A6ED-4A48-85B2-7B4B3C8EBE9D}"/>
    <hyperlink ref="E12" location="Energy!A143" display="Table 5: Solid fuel" xr:uid="{3187B1A8-C42B-4916-9062-0766494BE9AF}"/>
    <hyperlink ref="F12" location="Energy!A175" display="Table 6: Liquid fuel" xr:uid="{7A3D1082-380F-4A9D-A1A5-ACFD98F6D73C}"/>
    <hyperlink ref="G12" location="Energy!A230" display="Table 7: Heat networks" xr:uid="{06FE9B7C-D6C4-4FFD-9D68-3F08DA1278C5}"/>
  </hyperlinks>
  <pageMargins left="0.7" right="0.7" top="0.75" bottom="0.75" header="0.3" footer="0.3"/>
  <pageSetup paperSize="9" orientation="portrait" horizontalDpi="360" verticalDpi="360" r:id="rId2"/>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D0A6398-AC17-4538-B9E4-0BF0207C1088}">
          <x14:formula1>
            <xm:f>Buildings!$B$9:$B$41</xm:f>
          </x14:formula1>
          <xm:sqref>B16:B46 B49:B78 B81:B110 B145:B174 B177:B226 B113:B142 B229:B258</xm:sqref>
        </x14:dataValidation>
        <x14:dataValidation type="list" allowBlank="1" showInputMessage="1" showErrorMessage="1" xr:uid="{8F853FFB-EDCC-4ED4-93A7-101A70B18CFC}">
          <x14:formula1>
            <xm:f>'$ Conversion'!$A$9:$A$34</xm:f>
          </x14:formula1>
          <xm:sqref>I229:I258 I16:I46 I81:I110 I113:I142 I145:I174 I177:I226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5DF81-ED19-4AD0-B372-AA5642272351}">
  <sheetPr codeName="Sheet7">
    <tabColor rgb="FF00B050"/>
  </sheetPr>
  <dimension ref="A1:AE60"/>
  <sheetViews>
    <sheetView topLeftCell="E1" zoomScale="80" zoomScaleNormal="80" workbookViewId="0">
      <selection activeCell="K13" sqref="K13"/>
    </sheetView>
  </sheetViews>
  <sheetFormatPr defaultColWidth="17.26953125" defaultRowHeight="14.5" x14ac:dyDescent="0.35"/>
  <cols>
    <col min="1" max="1" width="34.81640625" customWidth="1"/>
    <col min="2" max="2" width="24.7265625" customWidth="1"/>
    <col min="3" max="3" width="46.1796875" customWidth="1"/>
    <col min="4" max="4" width="41.26953125" customWidth="1"/>
    <col min="5" max="5" width="20.453125" customWidth="1"/>
    <col min="6" max="6" width="21.1796875" style="4" customWidth="1"/>
    <col min="7" max="7" width="20.26953125" style="4" hidden="1" customWidth="1"/>
    <col min="8" max="8" width="23" style="4" customWidth="1"/>
    <col min="9" max="10" width="20.1796875" customWidth="1"/>
    <col min="11" max="11" width="24.1796875" customWidth="1"/>
    <col min="12" max="12" width="19.7265625" style="4" customWidth="1"/>
    <col min="13" max="13" width="30.7265625" bestFit="1" customWidth="1"/>
    <col min="14" max="14" width="20.453125" style="668" customWidth="1"/>
    <col min="16" max="16" width="26.7265625" customWidth="1"/>
    <col min="17" max="17" width="21.26953125" customWidth="1"/>
    <col min="18" max="18" width="22.81640625" hidden="1" customWidth="1"/>
    <col min="19" max="19" width="20.81640625" bestFit="1" customWidth="1"/>
    <col min="20" max="20" width="22.7265625" customWidth="1"/>
    <col min="21" max="21" width="20.1796875" style="668" bestFit="1" customWidth="1"/>
    <col min="22" max="22" width="18.1796875" customWidth="1"/>
    <col min="23" max="23" width="13.81640625" style="706" bestFit="1" customWidth="1"/>
    <col min="24" max="24" width="13.81640625" style="1457" bestFit="1" customWidth="1"/>
    <col min="25" max="25" width="13.81640625" style="706" bestFit="1" customWidth="1"/>
    <col min="26" max="26" width="18.1796875" customWidth="1"/>
    <col min="27" max="27" width="22" hidden="1" customWidth="1"/>
    <col min="28" max="28" width="15.81640625" hidden="1" customWidth="1"/>
    <col min="29" max="29" width="20.26953125" hidden="1" customWidth="1"/>
    <col min="30" max="30" width="62" hidden="1" customWidth="1"/>
    <col min="31" max="31" width="34.1796875" hidden="1" customWidth="1"/>
    <col min="32" max="32" width="34.1796875" bestFit="1" customWidth="1"/>
  </cols>
  <sheetData>
    <row r="1" spans="1:31" ht="51.75" customHeight="1" thickBot="1" x14ac:dyDescent="0.4">
      <c r="A1" s="1790" t="s">
        <v>415</v>
      </c>
      <c r="B1" s="1791"/>
      <c r="C1" s="1837" t="s">
        <v>638</v>
      </c>
      <c r="D1" s="1838"/>
      <c r="E1" s="1838"/>
      <c r="F1" s="1839"/>
    </row>
    <row r="2" spans="1:31" ht="33.75" customHeight="1" x14ac:dyDescent="0.35">
      <c r="A2" s="1815" t="s">
        <v>639</v>
      </c>
      <c r="B2" s="1816"/>
      <c r="C2" s="1816"/>
      <c r="D2" s="1816"/>
      <c r="E2" s="1816"/>
      <c r="F2" s="1817"/>
      <c r="G2" s="320"/>
      <c r="H2" s="320"/>
      <c r="I2" s="1240" t="s">
        <v>309</v>
      </c>
      <c r="J2" s="1768" t="s">
        <v>509</v>
      </c>
      <c r="K2" s="1769"/>
      <c r="L2" s="1769"/>
      <c r="M2" s="1769"/>
      <c r="N2" s="1769"/>
      <c r="O2" s="1769"/>
      <c r="P2" s="1769"/>
      <c r="Q2" s="1769"/>
      <c r="R2" s="1769"/>
      <c r="S2" s="1769"/>
      <c r="T2" s="1769"/>
      <c r="U2" s="1770"/>
      <c r="V2" s="801"/>
      <c r="X2" s="1458"/>
      <c r="Y2" s="1457"/>
    </row>
    <row r="3" spans="1:31" ht="23.25" customHeight="1" x14ac:dyDescent="0.35">
      <c r="A3" s="1818" t="s">
        <v>640</v>
      </c>
      <c r="B3" s="1819"/>
      <c r="C3" s="1819"/>
      <c r="D3" s="1819"/>
      <c r="E3" s="1819"/>
      <c r="F3" s="1820"/>
      <c r="G3" s="320"/>
      <c r="H3" s="320"/>
      <c r="I3" s="1241"/>
      <c r="J3" s="1771"/>
      <c r="K3" s="1772"/>
      <c r="L3" s="1772"/>
      <c r="M3" s="1772"/>
      <c r="N3" s="1772"/>
      <c r="O3" s="1772"/>
      <c r="P3" s="1772"/>
      <c r="Q3" s="1772"/>
      <c r="R3" s="1772"/>
      <c r="S3" s="1772"/>
      <c r="T3" s="1772"/>
      <c r="U3" s="1773"/>
      <c r="V3" s="801"/>
      <c r="X3" s="1458"/>
      <c r="Y3" s="1457"/>
    </row>
    <row r="4" spans="1:31" ht="31.5" customHeight="1" thickBot="1" x14ac:dyDescent="0.4">
      <c r="A4" s="1821" t="s">
        <v>641</v>
      </c>
      <c r="B4" s="1822"/>
      <c r="C4" s="1822"/>
      <c r="D4" s="1822"/>
      <c r="E4" s="1822"/>
      <c r="F4" s="1823"/>
      <c r="G4" s="320"/>
      <c r="H4" s="320"/>
      <c r="I4" s="1242"/>
      <c r="J4" s="1774"/>
      <c r="K4" s="1775"/>
      <c r="L4" s="1775"/>
      <c r="M4" s="1775"/>
      <c r="N4" s="1775"/>
      <c r="O4" s="1775"/>
      <c r="P4" s="1775"/>
      <c r="Q4" s="1775"/>
      <c r="R4" s="1775"/>
      <c r="S4" s="1775"/>
      <c r="T4" s="1775"/>
      <c r="U4" s="1776"/>
      <c r="V4" s="801"/>
      <c r="X4" s="1458"/>
      <c r="Y4" s="1457"/>
    </row>
    <row r="5" spans="1:31" ht="15" thickBot="1" x14ac:dyDescent="0.4">
      <c r="K5" s="4"/>
      <c r="L5"/>
      <c r="M5" s="668"/>
      <c r="N5"/>
      <c r="T5" s="668"/>
      <c r="U5"/>
      <c r="V5" s="668"/>
      <c r="X5" s="706"/>
    </row>
    <row r="6" spans="1:31" ht="23.25" customHeight="1" x14ac:dyDescent="0.35">
      <c r="A6" s="463" t="s">
        <v>211</v>
      </c>
      <c r="B6" s="466">
        <f>SUMIF(T13:T60, "Scope 1",S13:S60)/1000</f>
        <v>0.92586800000000002</v>
      </c>
      <c r="C6" s="461" t="s">
        <v>316</v>
      </c>
      <c r="D6" s="1688" t="s">
        <v>642</v>
      </c>
      <c r="E6" s="1689"/>
      <c r="F6" s="1690"/>
      <c r="G6" s="394"/>
      <c r="H6" s="394"/>
      <c r="I6" s="1697" t="s">
        <v>643</v>
      </c>
      <c r="J6" s="1698"/>
      <c r="K6" s="1698"/>
      <c r="L6" s="1699"/>
      <c r="M6" s="688"/>
      <c r="N6" s="4"/>
      <c r="T6" s="668"/>
      <c r="U6"/>
      <c r="V6" s="668"/>
      <c r="X6" s="706"/>
    </row>
    <row r="7" spans="1:31" ht="27" customHeight="1" thickBot="1" x14ac:dyDescent="0.4">
      <c r="A7" s="472" t="s">
        <v>212</v>
      </c>
      <c r="B7" s="471">
        <f>SUMIF(T13:T60, "Scope 2",S13:S60)/1000</f>
        <v>0</v>
      </c>
      <c r="C7" s="473" t="s">
        <v>316</v>
      </c>
      <c r="D7" s="1825"/>
      <c r="E7" s="1826"/>
      <c r="F7" s="1827"/>
      <c r="G7" s="394"/>
      <c r="H7" s="394"/>
      <c r="I7" s="1700"/>
      <c r="J7" s="1701"/>
      <c r="K7" s="1701"/>
      <c r="L7" s="1702"/>
      <c r="M7" s="688"/>
      <c r="N7" s="4"/>
      <c r="T7" s="668"/>
      <c r="U7"/>
      <c r="V7" s="668"/>
      <c r="X7" s="706"/>
    </row>
    <row r="8" spans="1:31" ht="28.5" customHeight="1" thickBot="1" x14ac:dyDescent="0.4">
      <c r="A8" s="464" t="s">
        <v>206</v>
      </c>
      <c r="B8" s="467">
        <f>SUMIF(T13:T60, "Scope 3",S13:S60)/1000</f>
        <v>0</v>
      </c>
      <c r="C8" s="462" t="s">
        <v>316</v>
      </c>
      <c r="D8" s="1691"/>
      <c r="E8" s="1692"/>
      <c r="F8" s="1693"/>
      <c r="G8" s="394"/>
      <c r="H8" s="394"/>
      <c r="I8" s="1700"/>
      <c r="J8" s="1701"/>
      <c r="K8" s="1701"/>
      <c r="L8" s="1702"/>
      <c r="M8" s="688"/>
      <c r="N8" s="4"/>
      <c r="T8" s="668"/>
      <c r="U8"/>
      <c r="V8" s="668"/>
      <c r="W8" s="1459" t="s">
        <v>644</v>
      </c>
      <c r="X8" s="1460" t="s">
        <v>645</v>
      </c>
      <c r="Y8" s="1461" t="s">
        <v>646</v>
      </c>
    </row>
    <row r="9" spans="1:31" ht="55.5" customHeight="1" thickBot="1" x14ac:dyDescent="0.4">
      <c r="A9" s="465" t="s">
        <v>516</v>
      </c>
      <c r="B9" s="444">
        <f>IFERROR((SUM(L13:L60))/(SUM(F13:F60)*3),"")</f>
        <v>0.66666666666666663</v>
      </c>
      <c r="C9" s="468" t="s">
        <v>517</v>
      </c>
      <c r="D9" s="1828" t="s">
        <v>647</v>
      </c>
      <c r="E9" s="1829"/>
      <c r="F9" s="1830"/>
      <c r="G9" s="394"/>
      <c r="H9" s="394"/>
      <c r="I9" s="1703"/>
      <c r="J9" s="1704"/>
      <c r="K9" s="1704"/>
      <c r="L9" s="1705"/>
      <c r="M9" s="689"/>
      <c r="N9" s="320"/>
      <c r="T9" s="668"/>
      <c r="U9"/>
      <c r="V9" s="668"/>
      <c r="W9" s="1462">
        <f>SUM(W13:W60)</f>
        <v>920.70399999999995</v>
      </c>
      <c r="X9" s="1463">
        <f>SUM(X13:X60)</f>
        <v>2.7199999999999998</v>
      </c>
      <c r="Y9" s="1464">
        <f>SUM(Y13:Y60)</f>
        <v>2.444</v>
      </c>
    </row>
    <row r="10" spans="1:31" ht="15" thickBot="1" x14ac:dyDescent="0.4">
      <c r="V10" s="668"/>
      <c r="X10" s="706"/>
      <c r="AA10" s="1804" t="s">
        <v>325</v>
      </c>
      <c r="AB10" s="1805"/>
      <c r="AC10" s="1805"/>
      <c r="AD10" s="1805"/>
      <c r="AE10" s="1806"/>
    </row>
    <row r="11" spans="1:31" ht="94.5" customHeight="1" thickBot="1" x14ac:dyDescent="0.5">
      <c r="A11" s="171" t="s">
        <v>648</v>
      </c>
      <c r="B11" s="475" t="s">
        <v>532</v>
      </c>
      <c r="C11" s="171" t="s">
        <v>649</v>
      </c>
      <c r="D11" s="171" t="s">
        <v>650</v>
      </c>
      <c r="E11" s="171" t="s">
        <v>533</v>
      </c>
      <c r="F11" s="171" t="s">
        <v>651</v>
      </c>
      <c r="G11" s="171" t="s">
        <v>652</v>
      </c>
      <c r="H11" s="171" t="s">
        <v>653</v>
      </c>
      <c r="I11" s="171" t="s">
        <v>654</v>
      </c>
      <c r="J11" s="171" t="s">
        <v>655</v>
      </c>
      <c r="K11" s="172" t="s">
        <v>535</v>
      </c>
      <c r="L11" s="669" t="s">
        <v>536</v>
      </c>
      <c r="M11" s="172" t="s">
        <v>656</v>
      </c>
      <c r="N11" s="172" t="s">
        <v>142</v>
      </c>
      <c r="O11" s="172" t="s">
        <v>538</v>
      </c>
      <c r="P11" s="247" t="s">
        <v>619</v>
      </c>
      <c r="Q11" s="170" t="s">
        <v>542</v>
      </c>
      <c r="R11" s="669" t="s">
        <v>543</v>
      </c>
      <c r="S11" s="669" t="s">
        <v>543</v>
      </c>
      <c r="T11" s="173" t="s">
        <v>544</v>
      </c>
      <c r="U11" s="671" t="s">
        <v>546</v>
      </c>
      <c r="W11" s="1447" t="s">
        <v>178</v>
      </c>
      <c r="X11" s="1448" t="s">
        <v>179</v>
      </c>
      <c r="Y11" s="1449" t="s">
        <v>180</v>
      </c>
      <c r="AA11" s="836" t="s">
        <v>533</v>
      </c>
      <c r="AB11" s="840" t="s">
        <v>471</v>
      </c>
      <c r="AC11" s="834" t="s">
        <v>657</v>
      </c>
      <c r="AD11" s="834" t="s">
        <v>658</v>
      </c>
      <c r="AE11" s="835" t="s">
        <v>659</v>
      </c>
    </row>
    <row r="12" spans="1:31" ht="44" thickBot="1" x14ac:dyDescent="0.4">
      <c r="A12" s="191" t="s">
        <v>329</v>
      </c>
      <c r="B12" s="476" t="s">
        <v>329</v>
      </c>
      <c r="C12" s="190" t="s">
        <v>329</v>
      </c>
      <c r="D12" s="190" t="s">
        <v>467</v>
      </c>
      <c r="E12" s="190" t="s">
        <v>329</v>
      </c>
      <c r="F12" s="193" t="s">
        <v>467</v>
      </c>
      <c r="G12" s="190" t="s">
        <v>660</v>
      </c>
      <c r="H12" s="190" t="s">
        <v>517</v>
      </c>
      <c r="I12" s="191" t="s">
        <v>661</v>
      </c>
      <c r="J12" s="190" t="s">
        <v>662</v>
      </c>
      <c r="K12" s="190" t="s">
        <v>329</v>
      </c>
      <c r="L12" s="665"/>
      <c r="M12" s="193" t="s">
        <v>467</v>
      </c>
      <c r="N12" s="190" t="s">
        <v>329</v>
      </c>
      <c r="O12" s="190" t="s">
        <v>556</v>
      </c>
      <c r="P12" s="248" t="s">
        <v>663</v>
      </c>
      <c r="Q12" s="189" t="s">
        <v>614</v>
      </c>
      <c r="R12" s="665" t="s">
        <v>560</v>
      </c>
      <c r="S12" s="662" t="s">
        <v>560</v>
      </c>
      <c r="T12" s="383" t="s">
        <v>561</v>
      </c>
      <c r="U12" s="672" t="s">
        <v>556</v>
      </c>
      <c r="W12" s="1450" t="s">
        <v>202</v>
      </c>
      <c r="X12" s="1451" t="s">
        <v>202</v>
      </c>
      <c r="Y12" s="1452" t="s">
        <v>202</v>
      </c>
      <c r="AA12" s="549"/>
      <c r="AB12" s="282" t="s">
        <v>473</v>
      </c>
      <c r="AC12" s="255" t="s">
        <v>664</v>
      </c>
      <c r="AD12" s="282" t="s">
        <v>665</v>
      </c>
      <c r="AE12" s="956" t="s">
        <v>666</v>
      </c>
    </row>
    <row r="13" spans="1:31" ht="29" x14ac:dyDescent="0.35">
      <c r="A13" s="897" t="s">
        <v>2593</v>
      </c>
      <c r="B13" s="852" t="s">
        <v>664</v>
      </c>
      <c r="C13" s="197" t="s">
        <v>669</v>
      </c>
      <c r="D13" s="197">
        <v>4</v>
      </c>
      <c r="E13" s="578" t="s">
        <v>575</v>
      </c>
      <c r="F13" s="576">
        <v>400</v>
      </c>
      <c r="G13" s="578" t="s">
        <v>473</v>
      </c>
      <c r="H13" s="1491"/>
      <c r="I13" s="435"/>
      <c r="J13" s="1131"/>
      <c r="K13" s="197" t="s">
        <v>670</v>
      </c>
      <c r="L13" s="690" cm="1">
        <f t="array" ref="L13">IFERROR((_xlfn.IFS(K13=$AE$12,"3",K13=$AE$13,"2",K13=$AE$14,"2",K13=$AE$15,"1",K13=$AE$16,"1"))*F13,"")</f>
        <v>800</v>
      </c>
      <c r="M13" s="199">
        <v>22</v>
      </c>
      <c r="N13" s="197" t="s">
        <v>167</v>
      </c>
      <c r="O13" s="440" t="str">
        <f>IFERROR(M13/VLOOKUP(N13,'$ Conversion'!$A$9:$B$40,2,0),"")</f>
        <v/>
      </c>
      <c r="P13" s="209"/>
      <c r="Q13" s="1162">
        <f>IFERROR(IF(J13&gt;0,J13,(VLOOKUP($B13&amp;"|"&amp;$E13,'Carbon factors'!$D$7:$E$379,2,0)*(IF(H13="",1,(1-H13))))),"")</f>
        <v>2.31467</v>
      </c>
      <c r="R13" s="500">
        <f t="shared" ref="R13:R60" si="0">IFERROR(Q13*F13,"")</f>
        <v>925.86800000000005</v>
      </c>
      <c r="S13" s="656">
        <f>IF(AND(B13="Electricity (vehicle)",I13="Y"),"0",R13)</f>
        <v>925.86800000000005</v>
      </c>
      <c r="T13" s="819" t="str">
        <f>IF(G13="N","Scope 3", IF(B13="Electricity (vehicle)", "Scope 2", "Scope 1"))</f>
        <v>Scope 1</v>
      </c>
      <c r="U13" s="804" t="str">
        <f>IFERROR((O13*F13),"")</f>
        <v/>
      </c>
      <c r="W13" s="1453">
        <f>IFERROR((((VLOOKUP($B13&amp;"|"&amp;$E13,'Carbon factors'!$D$7:$H$379,3,0)) *(IF($H13="",1,(1-$H13))))*$F13),"")</f>
        <v>920.70399999999995</v>
      </c>
      <c r="X13" s="202">
        <f>IFERROR((((VLOOKUP($B13&amp;"|"&amp;$E13,'Carbon factors'!$D$7:$H$379,4,0)) *(IF($H13="",1,(1-$H13))))*$F13),"")</f>
        <v>2.7199999999999998</v>
      </c>
      <c r="Y13" s="1454">
        <f>IFERROR((((VLOOKUP($B13&amp;"|"&amp;$E13,'Carbon factors'!$D$7:$H$379,5,0)) *(IF($H13="",1,(1-$H13))))*$F13),"")</f>
        <v>2.444</v>
      </c>
      <c r="AA13" s="261" t="s">
        <v>667</v>
      </c>
      <c r="AB13" s="159" t="s">
        <v>480</v>
      </c>
      <c r="AC13" s="158" t="s">
        <v>668</v>
      </c>
      <c r="AD13" s="301" t="s">
        <v>669</v>
      </c>
      <c r="AE13" s="262" t="s">
        <v>670</v>
      </c>
    </row>
    <row r="14" spans="1:31" x14ac:dyDescent="0.35">
      <c r="A14" s="898" t="s">
        <v>2594</v>
      </c>
      <c r="B14" s="853"/>
      <c r="C14" s="186"/>
      <c r="D14" s="186"/>
      <c r="E14" s="579"/>
      <c r="F14" s="577"/>
      <c r="G14" s="579" t="s">
        <v>473</v>
      </c>
      <c r="H14" s="1492"/>
      <c r="I14" s="179"/>
      <c r="J14" s="861"/>
      <c r="K14" s="186"/>
      <c r="L14" s="691" t="str" cm="1">
        <f t="array" ref="L14">IFERROR((_xlfn.IFS(K14=$AE$12,"3",K14=$AE$13,"2",K14=$AE$14,"2",K14=$AE$15,"1",K14=$AE$16,"1"))*F14,"")</f>
        <v/>
      </c>
      <c r="M14" s="168"/>
      <c r="N14" s="186"/>
      <c r="O14" s="183" t="str">
        <f>IFERROR(M14/VLOOKUP(N14,'$ Conversion'!$A$9:$B$40,2,0),"")</f>
        <v/>
      </c>
      <c r="P14" s="212"/>
      <c r="Q14" s="1163" t="str">
        <f>IFERROR(IF(J14&gt;0,J14,(VLOOKUP($B14&amp;"|"&amp;$E14,'Carbon factors'!$D$7:$E$379,2,0)*(IF(H14="",1,(1-H14))))),"")</f>
        <v/>
      </c>
      <c r="R14" s="501" t="str">
        <f t="shared" si="0"/>
        <v/>
      </c>
      <c r="S14" s="501" t="str">
        <f t="shared" ref="S14:S60" si="1">IF(AND(B14="Electricity (vehicle)",I14="Y"),"0",R14)</f>
        <v/>
      </c>
      <c r="T14" s="165" t="str">
        <f t="shared" ref="T14:T60" si="2">IF(G14="N","Scope 3", IF(B14="Electricity (vehicle)", "Scope 2", "Scope 1"))</f>
        <v>Scope 1</v>
      </c>
      <c r="U14" s="805" t="str">
        <f t="shared" ref="U14:U60" si="3">IFERROR((O14*F14),"")</f>
        <v/>
      </c>
      <c r="W14" s="1297" t="str">
        <f>IFERROR((((VLOOKUP($B14&amp;"|"&amp;$E14,'Carbon factors'!$D$7:$H$379,3,0)) *(IF($H14="",1,(1-$H14))))*$F14),"")</f>
        <v/>
      </c>
      <c r="X14" s="183" t="str">
        <f>IFERROR((((VLOOKUP($B14&amp;"|"&amp;$E14,'Carbon factors'!$D$7:$H$379,4,0)) *(IF($H14="",1,(1-$H14))))*$F14),"")</f>
        <v/>
      </c>
      <c r="Y14" s="1296" t="str">
        <f>IFERROR((((VLOOKUP($B14&amp;"|"&amp;$E14,'Carbon factors'!$D$7:$H$379,5,0)) *(IF($H14="",1,(1-$H14))))*$F14),"")</f>
        <v/>
      </c>
      <c r="AA14" s="261" t="s">
        <v>575</v>
      </c>
      <c r="AB14" s="159" t="s">
        <v>617</v>
      </c>
      <c r="AC14" s="158" t="s">
        <v>671</v>
      </c>
      <c r="AD14" s="301" t="s">
        <v>672</v>
      </c>
      <c r="AE14" s="262" t="s">
        <v>673</v>
      </c>
    </row>
    <row r="15" spans="1:31" x14ac:dyDescent="0.35">
      <c r="A15" s="898"/>
      <c r="B15" s="853"/>
      <c r="C15" s="186"/>
      <c r="D15" s="186"/>
      <c r="E15" s="579"/>
      <c r="F15" s="577"/>
      <c r="G15" s="579" t="s">
        <v>473</v>
      </c>
      <c r="H15" s="1492"/>
      <c r="I15" s="179"/>
      <c r="J15" s="861"/>
      <c r="K15" s="186"/>
      <c r="L15" s="691" t="str" cm="1">
        <f t="array" ref="L15">IFERROR((_xlfn.IFS(K15=$AE$12,"3",K15=$AE$13,"2",K15=$AE$14,"2",K15=$AE$15,"1",K15=$AE$16,"1"))*F15,"")</f>
        <v/>
      </c>
      <c r="M15" s="168"/>
      <c r="N15" s="186"/>
      <c r="O15" s="183" t="str">
        <f>IFERROR(M15/VLOOKUP(N15,'$ Conversion'!$A$9:$B$40,2,0),"")</f>
        <v/>
      </c>
      <c r="P15" s="212"/>
      <c r="Q15" s="1163" t="str">
        <f>IFERROR(IF(J15&gt;0,J15,(VLOOKUP($B15&amp;"|"&amp;$E15,'Carbon factors'!$D$7:$E$379,2,0)*(IF(H15="",1,(1-H15))))),"")</f>
        <v/>
      </c>
      <c r="R15" s="501" t="str">
        <f t="shared" si="0"/>
        <v/>
      </c>
      <c r="S15" s="501" t="str">
        <f t="shared" si="1"/>
        <v/>
      </c>
      <c r="T15" s="165" t="str">
        <f t="shared" si="2"/>
        <v>Scope 1</v>
      </c>
      <c r="U15" s="805" t="str">
        <f t="shared" si="3"/>
        <v/>
      </c>
      <c r="W15" s="1297" t="str">
        <f>IFERROR((((VLOOKUP($B15&amp;"|"&amp;$E15,'Carbon factors'!$D$7:$H$379,3,0)) *(IF($H15="",1,(1-$H15))))*$F15),"")</f>
        <v/>
      </c>
      <c r="X15" s="183" t="str">
        <f>IFERROR((((VLOOKUP($B15&amp;"|"&amp;$E15,'Carbon factors'!$D$7:$H$379,4,0)) *(IF($H15="",1,(1-$H15))))*$F15),"")</f>
        <v/>
      </c>
      <c r="Y15" s="1296" t="str">
        <f>IFERROR((((VLOOKUP($B15&amp;"|"&amp;$E15,'Carbon factors'!$D$7:$H$379,5,0)) *(IF($H15="",1,(1-$H15))))*$F15),"")</f>
        <v/>
      </c>
      <c r="AA15" s="263" t="s">
        <v>674</v>
      </c>
      <c r="AB15" s="161"/>
      <c r="AC15" s="158" t="s">
        <v>675</v>
      </c>
      <c r="AD15" s="159" t="s">
        <v>676</v>
      </c>
      <c r="AE15" s="262" t="s">
        <v>677</v>
      </c>
    </row>
    <row r="16" spans="1:31" x14ac:dyDescent="0.35">
      <c r="A16" s="898"/>
      <c r="B16" s="853"/>
      <c r="C16" s="186"/>
      <c r="D16" s="186"/>
      <c r="E16" s="579"/>
      <c r="F16" s="577"/>
      <c r="G16" s="579" t="s">
        <v>473</v>
      </c>
      <c r="H16" s="1492"/>
      <c r="I16" s="179"/>
      <c r="J16" s="861"/>
      <c r="K16" s="186"/>
      <c r="L16" s="691" t="str" cm="1">
        <f t="array" ref="L16">IFERROR((_xlfn.IFS(K16=$AE$12,"3",K16=$AE$13,"2",K16=$AE$14,"2",K16=$AE$15,"1",K16=$AE$16,"1"))*F16,"")</f>
        <v/>
      </c>
      <c r="M16" s="168"/>
      <c r="N16" s="186"/>
      <c r="O16" s="183" t="str">
        <f>IFERROR(M16/VLOOKUP(N16,'$ Conversion'!$A$9:$B$40,2,0),"")</f>
        <v/>
      </c>
      <c r="P16" s="212"/>
      <c r="Q16" s="1163" t="str">
        <f>IFERROR(IF(J16&gt;0,J16,(VLOOKUP($B16&amp;"|"&amp;$E16,'Carbon factors'!$D$7:$E$379,2,0)*(IF(H16="",1,(1-H16))))),"")</f>
        <v/>
      </c>
      <c r="R16" s="501" t="str">
        <f t="shared" si="0"/>
        <v/>
      </c>
      <c r="S16" s="501" t="str">
        <f t="shared" si="1"/>
        <v/>
      </c>
      <c r="T16" s="165" t="str">
        <f t="shared" si="2"/>
        <v>Scope 1</v>
      </c>
      <c r="U16" s="805" t="str">
        <f t="shared" si="3"/>
        <v/>
      </c>
      <c r="W16" s="1297" t="str">
        <f>IFERROR((((VLOOKUP($B16&amp;"|"&amp;$E16,'Carbon factors'!$D$7:$H$379,3,0)) *(IF($H16="",1,(1-$H16))))*$F16),"")</f>
        <v/>
      </c>
      <c r="X16" s="183" t="str">
        <f>IFERROR((((VLOOKUP($B16&amp;"|"&amp;$E16,'Carbon factors'!$D$7:$H$379,4,0)) *(IF($H16="",1,(1-$H16))))*$F16),"")</f>
        <v/>
      </c>
      <c r="Y16" s="1296" t="str">
        <f>IFERROR((((VLOOKUP($B16&amp;"|"&amp;$E16,'Carbon factors'!$D$7:$H$379,5,0)) *(IF($H16="",1,(1-$H16))))*$F16),"")</f>
        <v/>
      </c>
      <c r="AA16" s="263" t="s">
        <v>563</v>
      </c>
      <c r="AB16" s="161"/>
      <c r="AC16" s="158" t="s">
        <v>678</v>
      </c>
      <c r="AD16" s="159" t="s">
        <v>679</v>
      </c>
      <c r="AE16" s="262" t="s">
        <v>680</v>
      </c>
    </row>
    <row r="17" spans="1:31" x14ac:dyDescent="0.35">
      <c r="A17" s="898"/>
      <c r="B17" s="853"/>
      <c r="C17" s="186"/>
      <c r="D17" s="186"/>
      <c r="E17" s="579"/>
      <c r="F17" s="577"/>
      <c r="G17" s="579" t="s">
        <v>473</v>
      </c>
      <c r="H17" s="1492"/>
      <c r="I17" s="179"/>
      <c r="J17" s="861"/>
      <c r="K17" s="186"/>
      <c r="L17" s="691" t="str" cm="1">
        <f t="array" ref="L17">IFERROR((_xlfn.IFS(K17=$AE$12,"3",K17=$AE$13,"2",K17=$AE$14,"2",K17=$AE$15,"1",K17=$AE$16,"1"))*F17,"")</f>
        <v/>
      </c>
      <c r="M17" s="168"/>
      <c r="N17" s="186"/>
      <c r="O17" s="183" t="str">
        <f>IFERROR(M17/VLOOKUP(N17,'$ Conversion'!$A$9:$B$40,2,0),"")</f>
        <v/>
      </c>
      <c r="P17" s="212"/>
      <c r="Q17" s="1163" t="str">
        <f>IFERROR(IF(J17&gt;0,J17,(VLOOKUP($B17&amp;"|"&amp;$E17,'Carbon factors'!$D$7:$E$379,2,0)*(IF(H17="",1,(1-H17))))),"")</f>
        <v/>
      </c>
      <c r="R17" s="501" t="str">
        <f t="shared" si="0"/>
        <v/>
      </c>
      <c r="S17" s="501" t="str">
        <f t="shared" si="1"/>
        <v/>
      </c>
      <c r="T17" s="165" t="str">
        <f t="shared" si="2"/>
        <v>Scope 1</v>
      </c>
      <c r="U17" s="805" t="str">
        <f t="shared" si="3"/>
        <v/>
      </c>
      <c r="W17" s="1297" t="str">
        <f>IFERROR((((VLOOKUP($B17&amp;"|"&amp;$E17,'Carbon factors'!$D$7:$H$379,3,0)) *(IF($H17="",1,(1-$H17))))*$F17),"")</f>
        <v/>
      </c>
      <c r="X17" s="183" t="str">
        <f>IFERROR((((VLOOKUP($B17&amp;"|"&amp;$E17,'Carbon factors'!$D$7:$H$379,4,0)) *(IF($H17="",1,(1-$H17))))*$F17),"")</f>
        <v/>
      </c>
      <c r="Y17" s="1296" t="str">
        <f>IFERROR((((VLOOKUP($B17&amp;"|"&amp;$E17,'Carbon factors'!$D$7:$H$379,5,0)) *(IF($H17="",1,(1-$H17))))*$F17),"")</f>
        <v/>
      </c>
      <c r="AA17" s="235"/>
      <c r="AB17" s="158"/>
      <c r="AC17" s="158" t="s">
        <v>681</v>
      </c>
      <c r="AD17" s="302" t="s">
        <v>682</v>
      </c>
      <c r="AE17" s="262"/>
    </row>
    <row r="18" spans="1:31" x14ac:dyDescent="0.35">
      <c r="A18" s="898"/>
      <c r="B18" s="853"/>
      <c r="C18" s="186"/>
      <c r="D18" s="186"/>
      <c r="E18" s="579"/>
      <c r="F18" s="577"/>
      <c r="G18" s="579" t="s">
        <v>473</v>
      </c>
      <c r="H18" s="1492"/>
      <c r="I18" s="179"/>
      <c r="J18" s="861"/>
      <c r="K18" s="186"/>
      <c r="L18" s="691" t="str" cm="1">
        <f t="array" ref="L18">IFERROR((_xlfn.IFS(K18=$AE$12,"3",K18=$AE$13,"2",K18=$AE$14,"2",K18=$AE$15,"1",K18=$AE$16,"1"))*F18,"")</f>
        <v/>
      </c>
      <c r="M18" s="168"/>
      <c r="N18" s="186"/>
      <c r="O18" s="183" t="str">
        <f>IFERROR(M18/VLOOKUP(N18,'$ Conversion'!$A$9:$B$40,2,0),"")</f>
        <v/>
      </c>
      <c r="P18" s="212"/>
      <c r="Q18" s="1163" t="str">
        <f>IFERROR(IF(J18&gt;0,J18,(VLOOKUP($B18&amp;"|"&amp;$E18,'Carbon factors'!$D$7:$E$379,2,0)*(IF(H18="",1,(1-H18))))),"")</f>
        <v/>
      </c>
      <c r="R18" s="501" t="str">
        <f t="shared" si="0"/>
        <v/>
      </c>
      <c r="S18" s="501" t="str">
        <f t="shared" si="1"/>
        <v/>
      </c>
      <c r="T18" s="165" t="str">
        <f t="shared" si="2"/>
        <v>Scope 1</v>
      </c>
      <c r="U18" s="805" t="str">
        <f t="shared" si="3"/>
        <v/>
      </c>
      <c r="W18" s="1297" t="str">
        <f>IFERROR((((VLOOKUP($B18&amp;"|"&amp;$E18,'Carbon factors'!$D$7:$H$379,3,0)) *(IF($H18="",1,(1-$H18))))*$F18),"")</f>
        <v/>
      </c>
      <c r="X18" s="183" t="str">
        <f>IFERROR((((VLOOKUP($B18&amp;"|"&amp;$E18,'Carbon factors'!$D$7:$H$379,4,0)) *(IF($H18="",1,(1-$H18))))*$F18),"")</f>
        <v/>
      </c>
      <c r="Y18" s="1296" t="str">
        <f>IFERROR((((VLOOKUP($B18&amp;"|"&amp;$E18,'Carbon factors'!$D$7:$H$379,5,0)) *(IF($H18="",1,(1-$H18))))*$F18),"")</f>
        <v/>
      </c>
      <c r="AA18" s="235"/>
      <c r="AB18" s="158"/>
      <c r="AC18" s="158"/>
      <c r="AD18" s="301" t="s">
        <v>683</v>
      </c>
      <c r="AE18" s="262"/>
    </row>
    <row r="19" spans="1:31" x14ac:dyDescent="0.35">
      <c r="A19" s="898"/>
      <c r="B19" s="853"/>
      <c r="C19" s="186"/>
      <c r="D19" s="186"/>
      <c r="E19" s="579"/>
      <c r="F19" s="577"/>
      <c r="G19" s="579" t="s">
        <v>473</v>
      </c>
      <c r="H19" s="1492"/>
      <c r="I19" s="179"/>
      <c r="J19" s="861"/>
      <c r="K19" s="186"/>
      <c r="L19" s="691" t="str" cm="1">
        <f t="array" ref="L19">IFERROR((_xlfn.IFS(K19=$AE$12,"3",K19=$AE$13,"2",K19=$AE$14,"2",K19=$AE$15,"1",K19=$AE$16,"1"))*F19,"")</f>
        <v/>
      </c>
      <c r="M19" s="168"/>
      <c r="N19" s="186"/>
      <c r="O19" s="183" t="str">
        <f>IFERROR(M19/VLOOKUP(N19,'$ Conversion'!$A$9:$B$40,2,0),"")</f>
        <v/>
      </c>
      <c r="P19" s="212"/>
      <c r="Q19" s="1163" t="str">
        <f>IFERROR(IF(J19&gt;0,J19,(VLOOKUP($B19&amp;"|"&amp;$E19,'Carbon factors'!$D$7:$E$379,2,0)*(IF(H19="",1,(1-H19))))),"")</f>
        <v/>
      </c>
      <c r="R19" s="501" t="str">
        <f t="shared" si="0"/>
        <v/>
      </c>
      <c r="S19" s="501" t="str">
        <f t="shared" si="1"/>
        <v/>
      </c>
      <c r="T19" s="165" t="str">
        <f t="shared" si="2"/>
        <v>Scope 1</v>
      </c>
      <c r="U19" s="805" t="str">
        <f t="shared" si="3"/>
        <v/>
      </c>
      <c r="W19" s="1297" t="str">
        <f>IFERROR((((VLOOKUP($B19&amp;"|"&amp;$E19,'Carbon factors'!$D$7:$H$379,3,0)) *(IF($H19="",1,(1-$H19))))*$F19),"")</f>
        <v/>
      </c>
      <c r="X19" s="183" t="str">
        <f>IFERROR((((VLOOKUP($B19&amp;"|"&amp;$E19,'Carbon factors'!$D$7:$H$379,4,0)) *(IF($H19="",1,(1-$H19))))*$F19),"")</f>
        <v/>
      </c>
      <c r="Y19" s="1296" t="str">
        <f>IFERROR((((VLOOKUP($B19&amp;"|"&amp;$E19,'Carbon factors'!$D$7:$H$379,5,0)) *(IF($H19="",1,(1-$H19))))*$F19),"")</f>
        <v/>
      </c>
      <c r="AA19" s="235"/>
      <c r="AB19" s="158"/>
      <c r="AC19" s="158"/>
      <c r="AD19" s="302" t="s">
        <v>684</v>
      </c>
      <c r="AE19" s="262"/>
    </row>
    <row r="20" spans="1:31" x14ac:dyDescent="0.35">
      <c r="A20" s="898"/>
      <c r="B20" s="853"/>
      <c r="C20" s="186"/>
      <c r="D20" s="186"/>
      <c r="E20" s="579"/>
      <c r="F20" s="577"/>
      <c r="G20" s="579" t="s">
        <v>473</v>
      </c>
      <c r="H20" s="1492"/>
      <c r="I20" s="179"/>
      <c r="J20" s="861"/>
      <c r="K20" s="186"/>
      <c r="L20" s="691" t="str" cm="1">
        <f t="array" ref="L20">IFERROR((_xlfn.IFS(K20=$AE$12,"3",K20=$AE$13,"2",K20=$AE$14,"2",K20=$AE$15,"1",K20=$AE$16,"1"))*F20,"")</f>
        <v/>
      </c>
      <c r="M20" s="168"/>
      <c r="N20" s="186"/>
      <c r="O20" s="183" t="str">
        <f>IFERROR(M20/VLOOKUP(N20,'$ Conversion'!$A$9:$B$40,2,0),"")</f>
        <v/>
      </c>
      <c r="P20" s="212"/>
      <c r="Q20" s="1163" t="str">
        <f>IFERROR(IF(J20&gt;0,J20,(VLOOKUP($B20&amp;"|"&amp;$E20,'Carbon factors'!$D$7:$E$379,2,0)*(IF(H20="",1,(1-H20))))),"")</f>
        <v/>
      </c>
      <c r="R20" s="501" t="str">
        <f>IFERROR(Q20*F20,"")</f>
        <v/>
      </c>
      <c r="S20" s="501" t="str">
        <f t="shared" si="1"/>
        <v/>
      </c>
      <c r="T20" s="165" t="str">
        <f t="shared" si="2"/>
        <v>Scope 1</v>
      </c>
      <c r="U20" s="805" t="str">
        <f>IFERROR((O20*F20),"")</f>
        <v/>
      </c>
      <c r="W20" s="1297" t="str">
        <f>IFERROR((((VLOOKUP($B20&amp;"|"&amp;$E20,'Carbon factors'!$D$7:$H$379,3,0)) *(IF($H20="",1,(1-$H20))))*$F20),"")</f>
        <v/>
      </c>
      <c r="X20" s="183" t="str">
        <f>IFERROR((((VLOOKUP($B20&amp;"|"&amp;$E20,'Carbon factors'!$D$7:$H$379,4,0)) *(IF($H20="",1,(1-$H20))))*$F20),"")</f>
        <v/>
      </c>
      <c r="Y20" s="1296" t="str">
        <f>IFERROR((((VLOOKUP($B20&amp;"|"&amp;$E20,'Carbon factors'!$D$7:$H$379,5,0)) *(IF($H20="",1,(1-$H20))))*$F20),"")</f>
        <v/>
      </c>
      <c r="AA20" s="235"/>
      <c r="AB20" s="158"/>
      <c r="AC20" s="158"/>
      <c r="AD20" s="302" t="s">
        <v>685</v>
      </c>
      <c r="AE20" s="262"/>
    </row>
    <row r="21" spans="1:31" x14ac:dyDescent="0.35">
      <c r="A21" s="898"/>
      <c r="B21" s="853"/>
      <c r="C21" s="186"/>
      <c r="D21" s="186"/>
      <c r="E21" s="579"/>
      <c r="F21" s="577"/>
      <c r="G21" s="579" t="s">
        <v>473</v>
      </c>
      <c r="H21" s="1492"/>
      <c r="I21" s="179"/>
      <c r="J21" s="861"/>
      <c r="K21" s="186"/>
      <c r="L21" s="691" t="str" cm="1">
        <f t="array" ref="L21">IFERROR((_xlfn.IFS(K21=$AE$12,"3",K21=$AE$13,"2",K21=$AE$14,"2",K21=$AE$15,"1",K21=$AE$16,"1"))*F21,"")</f>
        <v/>
      </c>
      <c r="M21" s="168"/>
      <c r="N21" s="186"/>
      <c r="O21" s="183" t="str">
        <f>IFERROR(M21/VLOOKUP(N21,'$ Conversion'!$A$9:$B$40,2,0),"")</f>
        <v/>
      </c>
      <c r="P21" s="212"/>
      <c r="Q21" s="1163" t="str">
        <f>IFERROR(IF(J21&gt;0,J21,(VLOOKUP($B21&amp;"|"&amp;$E21,'Carbon factors'!$D$7:$E$379,2,0)*(IF(H21="",1,(1-H21))))),"")</f>
        <v/>
      </c>
      <c r="R21" s="501" t="str">
        <f t="shared" si="0"/>
        <v/>
      </c>
      <c r="S21" s="501" t="str">
        <f t="shared" si="1"/>
        <v/>
      </c>
      <c r="T21" s="165" t="str">
        <f t="shared" si="2"/>
        <v>Scope 1</v>
      </c>
      <c r="U21" s="805" t="str">
        <f t="shared" si="3"/>
        <v/>
      </c>
      <c r="W21" s="1297" t="str">
        <f>IFERROR((((VLOOKUP($B21&amp;"|"&amp;$E21,'Carbon factors'!$D$7:$H$379,3,0)) *(IF($H21="",1,(1-$H21))))*$F21),"")</f>
        <v/>
      </c>
      <c r="X21" s="183" t="str">
        <f>IFERROR((((VLOOKUP($B21&amp;"|"&amp;$E21,'Carbon factors'!$D$7:$H$379,4,0)) *(IF($H21="",1,(1-$H21))))*$F21),"")</f>
        <v/>
      </c>
      <c r="Y21" s="1296" t="str">
        <f>IFERROR((((VLOOKUP($B21&amp;"|"&amp;$E21,'Carbon factors'!$D$7:$H$379,5,0)) *(IF($H21="",1,(1-$H21))))*$F21),"")</f>
        <v/>
      </c>
      <c r="AA21" s="235"/>
      <c r="AB21" s="158"/>
      <c r="AC21" s="158"/>
      <c r="AD21" s="302" t="s">
        <v>686</v>
      </c>
      <c r="AE21" s="262"/>
    </row>
    <row r="22" spans="1:31" x14ac:dyDescent="0.35">
      <c r="A22" s="898"/>
      <c r="B22" s="853"/>
      <c r="C22" s="186"/>
      <c r="D22" s="186"/>
      <c r="E22" s="579"/>
      <c r="F22" s="577"/>
      <c r="G22" s="579" t="s">
        <v>473</v>
      </c>
      <c r="H22" s="1492"/>
      <c r="I22" s="179"/>
      <c r="J22" s="861"/>
      <c r="K22" s="186"/>
      <c r="L22" s="691" t="str" cm="1">
        <f t="array" ref="L22">IFERROR((_xlfn.IFS(K22=$AE$12,"3",K22=$AE$13,"2",K22=$AE$14,"2",K22=$AE$15,"1",K22=$AE$16,"1"))*F22,"")</f>
        <v/>
      </c>
      <c r="M22" s="168"/>
      <c r="N22" s="186"/>
      <c r="O22" s="183" t="str">
        <f>IFERROR(M22/VLOOKUP(N22,'$ Conversion'!$A$9:$B$40,2,0),"")</f>
        <v/>
      </c>
      <c r="P22" s="212"/>
      <c r="Q22" s="1163" t="str">
        <f>IFERROR(IF(J22&gt;0,J22,(VLOOKUP($B22&amp;"|"&amp;$E22,'Carbon factors'!$D$7:$E$379,2,0)*(IF(H22="",1,(1-H22))))),"")</f>
        <v/>
      </c>
      <c r="R22" s="501" t="str">
        <f t="shared" si="0"/>
        <v/>
      </c>
      <c r="S22" s="501" t="str">
        <f t="shared" si="1"/>
        <v/>
      </c>
      <c r="T22" s="165" t="str">
        <f t="shared" si="2"/>
        <v>Scope 1</v>
      </c>
      <c r="U22" s="805" t="str">
        <f t="shared" si="3"/>
        <v/>
      </c>
      <c r="W22" s="1297" t="str">
        <f>IFERROR((((VLOOKUP($B22&amp;"|"&amp;$E22,'Carbon factors'!$D$7:$H$379,3,0)) *(IF($H22="",1,(1-$H22))))*$F22),"")</f>
        <v/>
      </c>
      <c r="X22" s="183" t="str">
        <f>IFERROR((((VLOOKUP($B22&amp;"|"&amp;$E22,'Carbon factors'!$D$7:$H$379,4,0)) *(IF($H22="",1,(1-$H22))))*$F22),"")</f>
        <v/>
      </c>
      <c r="Y22" s="1296" t="str">
        <f>IFERROR((((VLOOKUP($B22&amp;"|"&amp;$E22,'Carbon factors'!$D$7:$H$379,5,0)) *(IF($H22="",1,(1-$H22))))*$F22),"")</f>
        <v/>
      </c>
      <c r="AA22" s="235"/>
      <c r="AB22" s="158"/>
      <c r="AC22" s="158"/>
      <c r="AD22" s="302" t="s">
        <v>687</v>
      </c>
      <c r="AE22" s="262"/>
    </row>
    <row r="23" spans="1:31" x14ac:dyDescent="0.35">
      <c r="A23" s="898"/>
      <c r="B23" s="853"/>
      <c r="C23" s="186"/>
      <c r="D23" s="186"/>
      <c r="E23" s="579"/>
      <c r="F23" s="577"/>
      <c r="G23" s="579" t="s">
        <v>473</v>
      </c>
      <c r="H23" s="1492"/>
      <c r="I23" s="179"/>
      <c r="J23" s="861"/>
      <c r="K23" s="186"/>
      <c r="L23" s="691" t="str" cm="1">
        <f t="array" ref="L23">IFERROR((_xlfn.IFS(K23=$AE$12,"3",K23=$AE$13,"2",K23=$AE$14,"2",K23=$AE$15,"1",K23=$AE$16,"1"))*F23,"")</f>
        <v/>
      </c>
      <c r="M23" s="168"/>
      <c r="N23" s="186"/>
      <c r="O23" s="183" t="str">
        <f>IFERROR(M23/VLOOKUP(N23,'$ Conversion'!$A$9:$B$40,2,0),"")</f>
        <v/>
      </c>
      <c r="P23" s="212"/>
      <c r="Q23" s="1163" t="str">
        <f>IFERROR(IF(J23&gt;0,J23,(VLOOKUP($B23&amp;"|"&amp;$E23,'Carbon factors'!$D$7:$E$379,2,0)*(IF(H23="",1,(1-H23))))),"")</f>
        <v/>
      </c>
      <c r="R23" s="501" t="str">
        <f t="shared" si="0"/>
        <v/>
      </c>
      <c r="S23" s="501" t="str">
        <f t="shared" si="1"/>
        <v/>
      </c>
      <c r="T23" s="165" t="str">
        <f t="shared" si="2"/>
        <v>Scope 1</v>
      </c>
      <c r="U23" s="805" t="str">
        <f t="shared" si="3"/>
        <v/>
      </c>
      <c r="W23" s="1297" t="str">
        <f>IFERROR((((VLOOKUP($B23&amp;"|"&amp;$E23,'Carbon factors'!$D$7:$H$379,3,0)) *(IF($H23="",1,(1-$H23))))*$F23),"")</f>
        <v/>
      </c>
      <c r="X23" s="183" t="str">
        <f>IFERROR((((VLOOKUP($B23&amp;"|"&amp;$E23,'Carbon factors'!$D$7:$H$379,4,0)) *(IF($H23="",1,(1-$H23))))*$F23),"")</f>
        <v/>
      </c>
      <c r="Y23" s="1296" t="str">
        <f>IFERROR((((VLOOKUP($B23&amp;"|"&amp;$E23,'Carbon factors'!$D$7:$H$379,5,0)) *(IF($H23="",1,(1-$H23))))*$F23),"")</f>
        <v/>
      </c>
      <c r="AA23" s="235"/>
      <c r="AB23" s="158"/>
      <c r="AC23" s="158"/>
      <c r="AD23" s="302" t="s">
        <v>688</v>
      </c>
      <c r="AE23" s="262"/>
    </row>
    <row r="24" spans="1:31" x14ac:dyDescent="0.35">
      <c r="A24" s="898"/>
      <c r="B24" s="853"/>
      <c r="C24" s="186"/>
      <c r="D24" s="186"/>
      <c r="E24" s="579"/>
      <c r="F24" s="577"/>
      <c r="G24" s="579" t="s">
        <v>473</v>
      </c>
      <c r="H24" s="1492"/>
      <c r="I24" s="179"/>
      <c r="J24" s="861"/>
      <c r="K24" s="186"/>
      <c r="L24" s="691" t="str" cm="1">
        <f t="array" ref="L24">IFERROR((_xlfn.IFS(K24=$AE$12,"3",K24=$AE$13,"2",K24=$AE$14,"2",K24=$AE$15,"1",K24=$AE$16,"1"))*F24,"")</f>
        <v/>
      </c>
      <c r="M24" s="168"/>
      <c r="N24" s="186"/>
      <c r="O24" s="183" t="str">
        <f>IFERROR(M24/VLOOKUP(N24,'$ Conversion'!$A$9:$B$40,2,0),"")</f>
        <v/>
      </c>
      <c r="P24" s="212"/>
      <c r="Q24" s="1163" t="str">
        <f>IFERROR(IF(J24&gt;0,J24,(VLOOKUP($B24&amp;"|"&amp;$E24,'Carbon factors'!$D$7:$E$379,2,0)*(IF(H24="",1,(1-H24))))),"")</f>
        <v/>
      </c>
      <c r="R24" s="501" t="str">
        <f t="shared" si="0"/>
        <v/>
      </c>
      <c r="S24" s="501" t="str">
        <f t="shared" si="1"/>
        <v/>
      </c>
      <c r="T24" s="165" t="str">
        <f t="shared" si="2"/>
        <v>Scope 1</v>
      </c>
      <c r="U24" s="805" t="str">
        <f t="shared" si="3"/>
        <v/>
      </c>
      <c r="W24" s="1297" t="str">
        <f>IFERROR((((VLOOKUP($B24&amp;"|"&amp;$E24,'Carbon factors'!$D$7:$H$379,3,0)) *(IF($H24="",1,(1-$H24))))*$F24),"")</f>
        <v/>
      </c>
      <c r="X24" s="183" t="str">
        <f>IFERROR((((VLOOKUP($B24&amp;"|"&amp;$E24,'Carbon factors'!$D$7:$H$379,4,0)) *(IF($H24="",1,(1-$H24))))*$F24),"")</f>
        <v/>
      </c>
      <c r="Y24" s="1296" t="str">
        <f>IFERROR((((VLOOKUP($B24&amp;"|"&amp;$E24,'Carbon factors'!$D$7:$H$379,5,0)) *(IF($H24="",1,(1-$H24))))*$F24),"")</f>
        <v/>
      </c>
      <c r="AA24" s="235"/>
      <c r="AB24" s="158"/>
      <c r="AC24" s="158"/>
      <c r="AD24" s="302" t="s">
        <v>689</v>
      </c>
      <c r="AE24" s="262"/>
    </row>
    <row r="25" spans="1:31" x14ac:dyDescent="0.35">
      <c r="A25" s="898"/>
      <c r="B25" s="853"/>
      <c r="C25" s="186"/>
      <c r="D25" s="186"/>
      <c r="E25" s="579"/>
      <c r="F25" s="577"/>
      <c r="G25" s="579" t="s">
        <v>473</v>
      </c>
      <c r="H25" s="1492"/>
      <c r="I25" s="179"/>
      <c r="J25" s="861"/>
      <c r="K25" s="186"/>
      <c r="L25" s="691" t="str" cm="1">
        <f t="array" ref="L25">IFERROR((_xlfn.IFS(K25=$AE$12,"3",K25=$AE$13,"2",K25=$AE$14,"2",K25=$AE$15,"1",K25=$AE$16,"1"))*F25,"")</f>
        <v/>
      </c>
      <c r="M25" s="168"/>
      <c r="N25" s="186"/>
      <c r="O25" s="183" t="str">
        <f>IFERROR(M25/VLOOKUP(N25,'$ Conversion'!$A$9:$B$40,2,0),"")</f>
        <v/>
      </c>
      <c r="P25" s="212"/>
      <c r="Q25" s="1163" t="str">
        <f>IFERROR(IF(J25&gt;0,J25,(VLOOKUP($B25&amp;"|"&amp;$E25,'Carbon factors'!$D$7:$E$379,2,0)*(IF(H25="",1,(1-H25))))),"")</f>
        <v/>
      </c>
      <c r="R25" s="501" t="str">
        <f t="shared" si="0"/>
        <v/>
      </c>
      <c r="S25" s="501" t="str">
        <f t="shared" si="1"/>
        <v/>
      </c>
      <c r="T25" s="165" t="str">
        <f t="shared" si="2"/>
        <v>Scope 1</v>
      </c>
      <c r="U25" s="805" t="str">
        <f t="shared" si="3"/>
        <v/>
      </c>
      <c r="W25" s="1297" t="str">
        <f>IFERROR((((VLOOKUP($B25&amp;"|"&amp;$E25,'Carbon factors'!$D$7:$H$379,3,0)) *(IF($H25="",1,(1-$H25))))*$F25),"")</f>
        <v/>
      </c>
      <c r="X25" s="183" t="str">
        <f>IFERROR((((VLOOKUP($B25&amp;"|"&amp;$E25,'Carbon factors'!$D$7:$H$379,4,0)) *(IF($H25="",1,(1-$H25))))*$F25),"")</f>
        <v/>
      </c>
      <c r="Y25" s="1296" t="str">
        <f>IFERROR((((VLOOKUP($B25&amp;"|"&amp;$E25,'Carbon factors'!$D$7:$H$379,5,0)) *(IF($H25="",1,(1-$H25))))*$F25),"")</f>
        <v/>
      </c>
      <c r="AA25" s="235"/>
      <c r="AB25" s="158"/>
      <c r="AC25" s="158"/>
      <c r="AD25" s="302" t="s">
        <v>690</v>
      </c>
      <c r="AE25" s="262"/>
    </row>
    <row r="26" spans="1:31" x14ac:dyDescent="0.35">
      <c r="A26" s="898"/>
      <c r="B26" s="853"/>
      <c r="C26" s="186"/>
      <c r="D26" s="186"/>
      <c r="E26" s="579"/>
      <c r="F26" s="577"/>
      <c r="G26" s="579" t="s">
        <v>473</v>
      </c>
      <c r="H26" s="1492"/>
      <c r="I26" s="179"/>
      <c r="J26" s="861"/>
      <c r="K26" s="186"/>
      <c r="L26" s="691" t="str" cm="1">
        <f t="array" ref="L26">IFERROR((_xlfn.IFS(K26=$AE$12,"3",K26=$AE$13,"2",K26=$AE$14,"2",K26=$AE$15,"1",K26=$AE$16,"1"))*F26,"")</f>
        <v/>
      </c>
      <c r="M26" s="168"/>
      <c r="N26" s="186"/>
      <c r="O26" s="183" t="str">
        <f>IFERROR(M26/VLOOKUP(N26,'$ Conversion'!$A$9:$B$40,2,0),"")</f>
        <v/>
      </c>
      <c r="P26" s="212"/>
      <c r="Q26" s="1163" t="str">
        <f>IFERROR(IF(J26&gt;0,J26,(VLOOKUP($B26&amp;"|"&amp;$E26,'Carbon factors'!$D$7:$E$379,2,0)*(IF(H26="",1,(1-H26))))),"")</f>
        <v/>
      </c>
      <c r="R26" s="501" t="str">
        <f t="shared" si="0"/>
        <v/>
      </c>
      <c r="S26" s="501" t="str">
        <f t="shared" si="1"/>
        <v/>
      </c>
      <c r="T26" s="165" t="str">
        <f t="shared" si="2"/>
        <v>Scope 1</v>
      </c>
      <c r="U26" s="805" t="str">
        <f t="shared" si="3"/>
        <v/>
      </c>
      <c r="W26" s="1297" t="str">
        <f>IFERROR((((VLOOKUP($B26&amp;"|"&amp;$E26,'Carbon factors'!$D$7:$H$379,3,0)) *(IF($H26="",1,(1-$H26))))*$F26),"")</f>
        <v/>
      </c>
      <c r="X26" s="183" t="str">
        <f>IFERROR((((VLOOKUP($B26&amp;"|"&amp;$E26,'Carbon factors'!$D$7:$H$379,4,0)) *(IF($H26="",1,(1-$H26))))*$F26),"")</f>
        <v/>
      </c>
      <c r="Y26" s="1296" t="str">
        <f>IFERROR((((VLOOKUP($B26&amp;"|"&amp;$E26,'Carbon factors'!$D$7:$H$379,5,0)) *(IF($H26="",1,(1-$H26))))*$F26),"")</f>
        <v/>
      </c>
      <c r="AA26" s="235"/>
      <c r="AB26" s="158"/>
      <c r="AC26" s="158"/>
      <c r="AD26" s="302" t="s">
        <v>691</v>
      </c>
      <c r="AE26" s="262"/>
    </row>
    <row r="27" spans="1:31" x14ac:dyDescent="0.35">
      <c r="A27" s="898"/>
      <c r="B27" s="853"/>
      <c r="C27" s="186"/>
      <c r="D27" s="186"/>
      <c r="E27" s="579"/>
      <c r="F27" s="577"/>
      <c r="G27" s="579" t="s">
        <v>473</v>
      </c>
      <c r="H27" s="1492"/>
      <c r="I27" s="179"/>
      <c r="J27" s="861"/>
      <c r="K27" s="186"/>
      <c r="L27" s="691" t="str" cm="1">
        <f t="array" ref="L27">IFERROR((_xlfn.IFS(K27=$AE$12,"3",K27=$AE$13,"2",K27=$AE$14,"2",K27=$AE$15,"1",K27=$AE$16,"1"))*F27,"")</f>
        <v/>
      </c>
      <c r="M27" s="168"/>
      <c r="N27" s="186"/>
      <c r="O27" s="183" t="str">
        <f>IFERROR(M27/VLOOKUP(N27,'$ Conversion'!$A$9:$B$40,2,0),"")</f>
        <v/>
      </c>
      <c r="P27" s="212"/>
      <c r="Q27" s="1163" t="str">
        <f>IFERROR(IF(J27&gt;0,J27,(VLOOKUP($B27&amp;"|"&amp;$E27,'Carbon factors'!$D$7:$E$379,2,0)*(IF(H27="",1,(1-H27))))),"")</f>
        <v/>
      </c>
      <c r="R27" s="501" t="str">
        <f t="shared" si="0"/>
        <v/>
      </c>
      <c r="S27" s="501" t="str">
        <f t="shared" si="1"/>
        <v/>
      </c>
      <c r="T27" s="165" t="str">
        <f t="shared" si="2"/>
        <v>Scope 1</v>
      </c>
      <c r="U27" s="805" t="str">
        <f t="shared" si="3"/>
        <v/>
      </c>
      <c r="W27" s="1297" t="str">
        <f>IFERROR((((VLOOKUP($B27&amp;"|"&amp;$E27,'Carbon factors'!$D$7:$H$379,3,0)) *(IF($H27="",1,(1-$H27))))*$F27),"")</f>
        <v/>
      </c>
      <c r="X27" s="183" t="str">
        <f>IFERROR((((VLOOKUP($B27&amp;"|"&amp;$E27,'Carbon factors'!$D$7:$H$379,4,0)) *(IF($H27="",1,(1-$H27))))*$F27),"")</f>
        <v/>
      </c>
      <c r="Y27" s="1296" t="str">
        <f>IFERROR((((VLOOKUP($B27&amp;"|"&amp;$E27,'Carbon factors'!$D$7:$H$379,5,0)) *(IF($H27="",1,(1-$H27))))*$F27),"")</f>
        <v/>
      </c>
      <c r="AA27" s="235"/>
      <c r="AB27" s="158"/>
      <c r="AC27" s="158"/>
      <c r="AD27" s="302" t="s">
        <v>692</v>
      </c>
      <c r="AE27" s="262"/>
    </row>
    <row r="28" spans="1:31" ht="15" thickBot="1" x14ac:dyDescent="0.4">
      <c r="A28" s="898"/>
      <c r="B28" s="853"/>
      <c r="C28" s="186"/>
      <c r="D28" s="186"/>
      <c r="E28" s="579"/>
      <c r="F28" s="577"/>
      <c r="G28" s="579" t="s">
        <v>473</v>
      </c>
      <c r="H28" s="1492"/>
      <c r="I28" s="179"/>
      <c r="J28" s="861"/>
      <c r="K28" s="186"/>
      <c r="L28" s="691" t="str" cm="1">
        <f t="array" ref="L28">IFERROR((_xlfn.IFS(K28=$AE$12,"3",K28=$AE$13,"2",K28=$AE$14,"2",K28=$AE$15,"1",K28=$AE$16,"1"))*F28,"")</f>
        <v/>
      </c>
      <c r="M28" s="168"/>
      <c r="N28" s="186"/>
      <c r="O28" s="183" t="str">
        <f>IFERROR(M28/VLOOKUP(N28,'$ Conversion'!$A$9:$B$40,2,0),"")</f>
        <v/>
      </c>
      <c r="P28" s="212"/>
      <c r="Q28" s="1163" t="str">
        <f>IFERROR(IF(J28&gt;0,J28,(VLOOKUP($B28&amp;"|"&amp;$E28,'Carbon factors'!$D$7:$E$379,2,0)*(IF(H28="",1,(1-H28))))),"")</f>
        <v/>
      </c>
      <c r="R28" s="501" t="str">
        <f t="shared" si="0"/>
        <v/>
      </c>
      <c r="S28" s="501" t="str">
        <f t="shared" si="1"/>
        <v/>
      </c>
      <c r="T28" s="165" t="str">
        <f t="shared" si="2"/>
        <v>Scope 1</v>
      </c>
      <c r="U28" s="805" t="str">
        <f t="shared" si="3"/>
        <v/>
      </c>
      <c r="W28" s="1297" t="str">
        <f>IFERROR((((VLOOKUP($B28&amp;"|"&amp;$E28,'Carbon factors'!$D$7:$H$379,3,0)) *(IF($H28="",1,(1-$H28))))*$F28),"")</f>
        <v/>
      </c>
      <c r="X28" s="183" t="str">
        <f>IFERROR((((VLOOKUP($B28&amp;"|"&amp;$E28,'Carbon factors'!$D$7:$H$379,4,0)) *(IF($H28="",1,(1-$H28))))*$F28),"")</f>
        <v/>
      </c>
      <c r="Y28" s="1296" t="str">
        <f>IFERROR((((VLOOKUP($B28&amp;"|"&amp;$E28,'Carbon factors'!$D$7:$H$379,5,0)) *(IF($H28="",1,(1-$H28))))*$F28),"")</f>
        <v/>
      </c>
      <c r="AA28" s="256"/>
      <c r="AB28" s="250"/>
      <c r="AC28" s="250"/>
      <c r="AD28" s="1299" t="s">
        <v>693</v>
      </c>
      <c r="AE28" s="1136"/>
    </row>
    <row r="29" spans="1:31" x14ac:dyDescent="0.35">
      <c r="A29" s="898"/>
      <c r="B29" s="853"/>
      <c r="C29" s="186"/>
      <c r="D29" s="186"/>
      <c r="E29" s="579"/>
      <c r="F29" s="577"/>
      <c r="G29" s="579" t="s">
        <v>473</v>
      </c>
      <c r="H29" s="1492"/>
      <c r="I29" s="179"/>
      <c r="J29" s="861"/>
      <c r="K29" s="186"/>
      <c r="L29" s="691" t="str" cm="1">
        <f t="array" ref="L29">IFERROR((_xlfn.IFS(K29=$AE$12,"3",K29=$AE$13,"2",K29=$AE$14,"2",K29=$AE$15,"1",K29=$AE$16,"1"))*F29,"")</f>
        <v/>
      </c>
      <c r="M29" s="168"/>
      <c r="N29" s="186"/>
      <c r="O29" s="183" t="str">
        <f>IFERROR(M29/VLOOKUP(N29,'$ Conversion'!$A$9:$B$40,2,0),"")</f>
        <v/>
      </c>
      <c r="P29" s="212"/>
      <c r="Q29" s="1163" t="str">
        <f>IFERROR(IF(J29&gt;0,J29,(VLOOKUP($B29&amp;"|"&amp;$E29,'Carbon factors'!$D$7:$E$379,2,0)*(IF(H29="",1,(1-H29))))),"")</f>
        <v/>
      </c>
      <c r="R29" s="501" t="str">
        <f t="shared" si="0"/>
        <v/>
      </c>
      <c r="S29" s="501" t="str">
        <f t="shared" si="1"/>
        <v/>
      </c>
      <c r="T29" s="165" t="str">
        <f t="shared" si="2"/>
        <v>Scope 1</v>
      </c>
      <c r="U29" s="805" t="str">
        <f t="shared" si="3"/>
        <v/>
      </c>
      <c r="W29" s="1297" t="str">
        <f>IFERROR((((VLOOKUP($B29&amp;"|"&amp;$E29,'Carbon factors'!$D$7:$H$379,3,0)) *(IF($H29="",1,(1-$H29))))*$F29),"")</f>
        <v/>
      </c>
      <c r="X29" s="183" t="str">
        <f>IFERROR((((VLOOKUP($B29&amp;"|"&amp;$E29,'Carbon factors'!$D$7:$H$379,4,0)) *(IF($H29="",1,(1-$H29))))*$F29),"")</f>
        <v/>
      </c>
      <c r="Y29" s="1296" t="str">
        <f>IFERROR((((VLOOKUP($B29&amp;"|"&amp;$E29,'Carbon factors'!$D$7:$H$379,5,0)) *(IF($H29="",1,(1-$H29))))*$F29),"")</f>
        <v/>
      </c>
    </row>
    <row r="30" spans="1:31" x14ac:dyDescent="0.35">
      <c r="A30" s="898"/>
      <c r="B30" s="853"/>
      <c r="C30" s="186"/>
      <c r="D30" s="186"/>
      <c r="E30" s="579"/>
      <c r="F30" s="577"/>
      <c r="G30" s="579" t="s">
        <v>473</v>
      </c>
      <c r="H30" s="1492"/>
      <c r="I30" s="179"/>
      <c r="J30" s="861"/>
      <c r="K30" s="186"/>
      <c r="L30" s="691" t="str" cm="1">
        <f t="array" ref="L30">IFERROR((_xlfn.IFS(K30=$AE$12,"3",K30=$AE$13,"2",K30=$AE$14,"2",K30=$AE$15,"1",K30=$AE$16,"1"))*F30,"")</f>
        <v/>
      </c>
      <c r="M30" s="168"/>
      <c r="N30" s="186"/>
      <c r="O30" s="183" t="str">
        <f>IFERROR(M30/VLOOKUP(N30,'$ Conversion'!$A$9:$B$40,2,0),"")</f>
        <v/>
      </c>
      <c r="P30" s="212"/>
      <c r="Q30" s="1163" t="str">
        <f>IFERROR(IF(J30&gt;0,J30,(VLOOKUP($B30&amp;"|"&amp;$E30,'Carbon factors'!$D$7:$E$379,2,0)*(IF(H30="",1,(1-H30))))),"")</f>
        <v/>
      </c>
      <c r="R30" s="501" t="str">
        <f t="shared" si="0"/>
        <v/>
      </c>
      <c r="S30" s="501" t="str">
        <f t="shared" si="1"/>
        <v/>
      </c>
      <c r="T30" s="165" t="str">
        <f t="shared" si="2"/>
        <v>Scope 1</v>
      </c>
      <c r="U30" s="805" t="str">
        <f t="shared" si="3"/>
        <v/>
      </c>
      <c r="W30" s="1297" t="str">
        <f>IFERROR((((VLOOKUP($B30&amp;"|"&amp;$E30,'Carbon factors'!$D$7:$H$379,3,0)) *(IF($H30="",1,(1-$H30))))*$F30),"")</f>
        <v/>
      </c>
      <c r="X30" s="183" t="str">
        <f>IFERROR((((VLOOKUP($B30&amp;"|"&amp;$E30,'Carbon factors'!$D$7:$H$379,4,0)) *(IF($H30="",1,(1-$H30))))*$F30),"")</f>
        <v/>
      </c>
      <c r="Y30" s="1296" t="str">
        <f>IFERROR((((VLOOKUP($B30&amp;"|"&amp;$E30,'Carbon factors'!$D$7:$H$379,5,0)) *(IF($H30="",1,(1-$H30))))*$F30),"")</f>
        <v/>
      </c>
    </row>
    <row r="31" spans="1:31" x14ac:dyDescent="0.35">
      <c r="A31" s="898"/>
      <c r="B31" s="853"/>
      <c r="C31" s="186"/>
      <c r="D31" s="186"/>
      <c r="E31" s="579"/>
      <c r="F31" s="577"/>
      <c r="G31" s="579" t="s">
        <v>473</v>
      </c>
      <c r="H31" s="1492"/>
      <c r="I31" s="179"/>
      <c r="J31" s="861"/>
      <c r="K31" s="186"/>
      <c r="L31" s="691" t="str" cm="1">
        <f t="array" ref="L31">IFERROR((_xlfn.IFS(K31=$AE$12,"3",K31=$AE$13,"2",K31=$AE$14,"2",K31=$AE$15,"1",K31=$AE$16,"1"))*F31,"")</f>
        <v/>
      </c>
      <c r="M31" s="168"/>
      <c r="N31" s="186"/>
      <c r="O31" s="183" t="str">
        <f>IFERROR(M31/VLOOKUP(N31,'$ Conversion'!$A$9:$B$40,2,0),"")</f>
        <v/>
      </c>
      <c r="P31" s="212"/>
      <c r="Q31" s="1163" t="str">
        <f>IFERROR(IF(J31&gt;0,J31,(VLOOKUP($B31&amp;"|"&amp;$E31,'Carbon factors'!$D$7:$E$379,2,0)*(IF(H31="",1,(1-H31))))),"")</f>
        <v/>
      </c>
      <c r="R31" s="501" t="str">
        <f t="shared" si="0"/>
        <v/>
      </c>
      <c r="S31" s="501" t="str">
        <f t="shared" si="1"/>
        <v/>
      </c>
      <c r="T31" s="165" t="str">
        <f t="shared" si="2"/>
        <v>Scope 1</v>
      </c>
      <c r="U31" s="805" t="str">
        <f t="shared" si="3"/>
        <v/>
      </c>
      <c r="W31" s="1297" t="str">
        <f>IFERROR((((VLOOKUP($B31&amp;"|"&amp;$E31,'Carbon factors'!$D$7:$H$379,3,0)) *(IF($H31="",1,(1-$H31))))*$F31),"")</f>
        <v/>
      </c>
      <c r="X31" s="183" t="str">
        <f>IFERROR((((VLOOKUP($B31&amp;"|"&amp;$E31,'Carbon factors'!$D$7:$H$379,4,0)) *(IF($H31="",1,(1-$H31))))*$F31),"")</f>
        <v/>
      </c>
      <c r="Y31" s="1296" t="str">
        <f>IFERROR((((VLOOKUP($B31&amp;"|"&amp;$E31,'Carbon factors'!$D$7:$H$379,5,0)) *(IF($H31="",1,(1-$H31))))*$F31),"")</f>
        <v/>
      </c>
    </row>
    <row r="32" spans="1:31" x14ac:dyDescent="0.35">
      <c r="A32" s="898"/>
      <c r="B32" s="853"/>
      <c r="C32" s="186"/>
      <c r="D32" s="186"/>
      <c r="E32" s="579"/>
      <c r="F32" s="577"/>
      <c r="G32" s="579" t="s">
        <v>473</v>
      </c>
      <c r="H32" s="1492"/>
      <c r="I32" s="179"/>
      <c r="J32" s="861"/>
      <c r="K32" s="186"/>
      <c r="L32" s="691" t="str" cm="1">
        <f t="array" ref="L32">IFERROR((_xlfn.IFS(K32=$AE$12,"3",K32=$AE$13,"2",K32=$AE$14,"2",K32=$AE$15,"1",K32=$AE$16,"1"))*F32,"")</f>
        <v/>
      </c>
      <c r="M32" s="168"/>
      <c r="N32" s="186"/>
      <c r="O32" s="183" t="str">
        <f>IFERROR(M32/VLOOKUP(N32,'$ Conversion'!$A$9:$B$40,2,0),"")</f>
        <v/>
      </c>
      <c r="P32" s="212"/>
      <c r="Q32" s="1163" t="str">
        <f>IFERROR(IF(J32&gt;0,J32,(VLOOKUP($B32&amp;"|"&amp;$E32,'Carbon factors'!$D$7:$E$379,2,0)*(IF(H32="",1,(1-H32))))),"")</f>
        <v/>
      </c>
      <c r="R32" s="501" t="str">
        <f t="shared" si="0"/>
        <v/>
      </c>
      <c r="S32" s="501" t="str">
        <f t="shared" si="1"/>
        <v/>
      </c>
      <c r="T32" s="165" t="str">
        <f t="shared" si="2"/>
        <v>Scope 1</v>
      </c>
      <c r="U32" s="805" t="str">
        <f t="shared" si="3"/>
        <v/>
      </c>
      <c r="W32" s="1297" t="str">
        <f>IFERROR((((VLOOKUP($B32&amp;"|"&amp;$E32,'Carbon factors'!$D$7:$H$379,3,0)) *(IF($H32="",1,(1-$H32))))*$F32),"")</f>
        <v/>
      </c>
      <c r="X32" s="183" t="str">
        <f>IFERROR((((VLOOKUP($B32&amp;"|"&amp;$E32,'Carbon factors'!$D$7:$H$379,4,0)) *(IF($H32="",1,(1-$H32))))*$F32),"")</f>
        <v/>
      </c>
      <c r="Y32" s="1296" t="str">
        <f>IFERROR((((VLOOKUP($B32&amp;"|"&amp;$E32,'Carbon factors'!$D$7:$H$379,5,0)) *(IF($H32="",1,(1-$H32))))*$F32),"")</f>
        <v/>
      </c>
    </row>
    <row r="33" spans="1:25" x14ac:dyDescent="0.35">
      <c r="A33" s="898"/>
      <c r="B33" s="853"/>
      <c r="C33" s="186"/>
      <c r="D33" s="186"/>
      <c r="E33" s="579"/>
      <c r="F33" s="577"/>
      <c r="G33" s="579" t="s">
        <v>473</v>
      </c>
      <c r="H33" s="1492"/>
      <c r="I33" s="179"/>
      <c r="J33" s="861"/>
      <c r="K33" s="186"/>
      <c r="L33" s="691" t="str" cm="1">
        <f t="array" ref="L33">IFERROR((_xlfn.IFS(K33=$AE$12,"3",K33=$AE$13,"2",K33=$AE$14,"2",K33=$AE$15,"1",K33=$AE$16,"1"))*F33,"")</f>
        <v/>
      </c>
      <c r="M33" s="168"/>
      <c r="N33" s="186"/>
      <c r="O33" s="183" t="str">
        <f>IFERROR(M33/VLOOKUP(N33,'$ Conversion'!$A$9:$B$40,2,0),"")</f>
        <v/>
      </c>
      <c r="P33" s="212"/>
      <c r="Q33" s="1163" t="str">
        <f>IFERROR(IF(J33&gt;0,J33,(VLOOKUP($B33&amp;"|"&amp;$E33,'Carbon factors'!$D$7:$E$379,2,0)*(IF(H33="",1,(1-H33))))),"")</f>
        <v/>
      </c>
      <c r="R33" s="501" t="str">
        <f t="shared" si="0"/>
        <v/>
      </c>
      <c r="S33" s="501" t="str">
        <f t="shared" si="1"/>
        <v/>
      </c>
      <c r="T33" s="165" t="str">
        <f t="shared" si="2"/>
        <v>Scope 1</v>
      </c>
      <c r="U33" s="805" t="str">
        <f t="shared" si="3"/>
        <v/>
      </c>
      <c r="W33" s="1297" t="str">
        <f>IFERROR((((VLOOKUP($B33&amp;"|"&amp;$E33,'Carbon factors'!$D$7:$H$379,3,0)) *(IF($H33="",1,(1-$H33))))*$F33),"")</f>
        <v/>
      </c>
      <c r="X33" s="183" t="str">
        <f>IFERROR((((VLOOKUP($B33&amp;"|"&amp;$E33,'Carbon factors'!$D$7:$H$379,4,0)) *(IF($H33="",1,(1-$H33))))*$F33),"")</f>
        <v/>
      </c>
      <c r="Y33" s="1296" t="str">
        <f>IFERROR((((VLOOKUP($B33&amp;"|"&amp;$E33,'Carbon factors'!$D$7:$H$379,5,0)) *(IF($H33="",1,(1-$H33))))*$F33),"")</f>
        <v/>
      </c>
    </row>
    <row r="34" spans="1:25" x14ac:dyDescent="0.35">
      <c r="A34" s="898"/>
      <c r="B34" s="853"/>
      <c r="C34" s="186"/>
      <c r="D34" s="186"/>
      <c r="E34" s="579"/>
      <c r="F34" s="577"/>
      <c r="G34" s="579" t="s">
        <v>473</v>
      </c>
      <c r="H34" s="1492"/>
      <c r="I34" s="179"/>
      <c r="J34" s="861"/>
      <c r="K34" s="186"/>
      <c r="L34" s="691" t="str" cm="1">
        <f t="array" ref="L34">IFERROR((_xlfn.IFS(K34=$AE$12,"3",K34=$AE$13,"2",K34=$AE$14,"2",K34=$AE$15,"1",K34=$AE$16,"1"))*F34,"")</f>
        <v/>
      </c>
      <c r="M34" s="168"/>
      <c r="N34" s="186"/>
      <c r="O34" s="183" t="str">
        <f>IFERROR(M34/VLOOKUP(N34,'$ Conversion'!$A$9:$B$40,2,0),"")</f>
        <v/>
      </c>
      <c r="P34" s="212"/>
      <c r="Q34" s="1163" t="str">
        <f>IFERROR(IF(J34&gt;0,J34,(VLOOKUP($B34&amp;"|"&amp;$E34,'Carbon factors'!$D$7:$E$379,2,0)*(IF(H34="",1,(1-H34))))),"")</f>
        <v/>
      </c>
      <c r="R34" s="501" t="str">
        <f t="shared" si="0"/>
        <v/>
      </c>
      <c r="S34" s="501" t="str">
        <f t="shared" si="1"/>
        <v/>
      </c>
      <c r="T34" s="165" t="str">
        <f t="shared" si="2"/>
        <v>Scope 1</v>
      </c>
      <c r="U34" s="805" t="str">
        <f t="shared" si="3"/>
        <v/>
      </c>
      <c r="W34" s="1297" t="str">
        <f>IFERROR((((VLOOKUP($B34&amp;"|"&amp;$E34,'Carbon factors'!$D$7:$H$379,3,0)) *(IF($H34="",1,(1-$H34))))*$F34),"")</f>
        <v/>
      </c>
      <c r="X34" s="183" t="str">
        <f>IFERROR((((VLOOKUP($B34&amp;"|"&amp;$E34,'Carbon factors'!$D$7:$H$379,4,0)) *(IF($H34="",1,(1-$H34))))*$F34),"")</f>
        <v/>
      </c>
      <c r="Y34" s="1296" t="str">
        <f>IFERROR((((VLOOKUP($B34&amp;"|"&amp;$E34,'Carbon factors'!$D$7:$H$379,5,0)) *(IF($H34="",1,(1-$H34))))*$F34),"")</f>
        <v/>
      </c>
    </row>
    <row r="35" spans="1:25" x14ac:dyDescent="0.35">
      <c r="A35" s="898"/>
      <c r="B35" s="853"/>
      <c r="C35" s="186"/>
      <c r="D35" s="186"/>
      <c r="E35" s="579"/>
      <c r="F35" s="577"/>
      <c r="G35" s="579" t="s">
        <v>473</v>
      </c>
      <c r="H35" s="1492"/>
      <c r="I35" s="179"/>
      <c r="J35" s="861"/>
      <c r="K35" s="186"/>
      <c r="L35" s="691" t="str" cm="1">
        <f t="array" ref="L35">IFERROR((_xlfn.IFS(K35=$AE$12,"3",K35=$AE$13,"2",K35=$AE$14,"2",K35=$AE$15,"1",K35=$AE$16,"1"))*F35,"")</f>
        <v/>
      </c>
      <c r="M35" s="168"/>
      <c r="N35" s="186"/>
      <c r="O35" s="183" t="str">
        <f>IFERROR(M35/VLOOKUP(N35,'$ Conversion'!$A$9:$B$40,2,0),"")</f>
        <v/>
      </c>
      <c r="P35" s="212"/>
      <c r="Q35" s="1163" t="str">
        <f>IFERROR(IF(J35&gt;0,J35,(VLOOKUP($B35&amp;"|"&amp;$E35,'Carbon factors'!$D$7:$E$379,2,0)*(IF(H35="",1,(1-H35))))),"")</f>
        <v/>
      </c>
      <c r="R35" s="501" t="str">
        <f t="shared" si="0"/>
        <v/>
      </c>
      <c r="S35" s="501" t="str">
        <f t="shared" si="1"/>
        <v/>
      </c>
      <c r="T35" s="165" t="str">
        <f t="shared" si="2"/>
        <v>Scope 1</v>
      </c>
      <c r="U35" s="805" t="str">
        <f t="shared" si="3"/>
        <v/>
      </c>
      <c r="W35" s="1297" t="str">
        <f>IFERROR((((VLOOKUP($B35&amp;"|"&amp;$E35,'Carbon factors'!$D$7:$H$379,3,0)) *(IF($H35="",1,(1-$H35))))*$F35),"")</f>
        <v/>
      </c>
      <c r="X35" s="183" t="str">
        <f>IFERROR((((VLOOKUP($B35&amp;"|"&amp;$E35,'Carbon factors'!$D$7:$H$379,4,0)) *(IF($H35="",1,(1-$H35))))*$F35),"")</f>
        <v/>
      </c>
      <c r="Y35" s="1296" t="str">
        <f>IFERROR((((VLOOKUP($B35&amp;"|"&amp;$E35,'Carbon factors'!$D$7:$H$379,5,0)) *(IF($H35="",1,(1-$H35))))*$F35),"")</f>
        <v/>
      </c>
    </row>
    <row r="36" spans="1:25" x14ac:dyDescent="0.35">
      <c r="A36" s="898"/>
      <c r="B36" s="853"/>
      <c r="C36" s="186"/>
      <c r="D36" s="186"/>
      <c r="E36" s="579"/>
      <c r="F36" s="577"/>
      <c r="G36" s="579" t="s">
        <v>473</v>
      </c>
      <c r="H36" s="1492"/>
      <c r="I36" s="179"/>
      <c r="J36" s="861"/>
      <c r="K36" s="186"/>
      <c r="L36" s="691" t="str" cm="1">
        <f t="array" ref="L36">IFERROR((_xlfn.IFS(K36=$AE$12,"3",K36=$AE$13,"2",K36=$AE$14,"2",K36=$AE$15,"1",K36=$AE$16,"1"))*F36,"")</f>
        <v/>
      </c>
      <c r="M36" s="168"/>
      <c r="N36" s="186"/>
      <c r="O36" s="183" t="str">
        <f>IFERROR(M36/VLOOKUP(N36,'$ Conversion'!$A$9:$B$40,2,0),"")</f>
        <v/>
      </c>
      <c r="P36" s="212"/>
      <c r="Q36" s="1163" t="str">
        <f>IFERROR(IF(J36&gt;0,J36,(VLOOKUP($B36&amp;"|"&amp;$E36,'Carbon factors'!$D$7:$E$379,2,0)*(IF(H36="",1,(1-H36))))),"")</f>
        <v/>
      </c>
      <c r="R36" s="501" t="str">
        <f t="shared" si="0"/>
        <v/>
      </c>
      <c r="S36" s="501" t="str">
        <f t="shared" si="1"/>
        <v/>
      </c>
      <c r="T36" s="165" t="str">
        <f t="shared" si="2"/>
        <v>Scope 1</v>
      </c>
      <c r="U36" s="805" t="str">
        <f t="shared" si="3"/>
        <v/>
      </c>
      <c r="W36" s="1297" t="str">
        <f>IFERROR((((VLOOKUP($B36&amp;"|"&amp;$E36,'Carbon factors'!$D$7:$H$379,3,0)) *(IF($H36="",1,(1-$H36))))*$F36),"")</f>
        <v/>
      </c>
      <c r="X36" s="183" t="str">
        <f>IFERROR((((VLOOKUP($B36&amp;"|"&amp;$E36,'Carbon factors'!$D$7:$H$379,4,0)) *(IF($H36="",1,(1-$H36))))*$F36),"")</f>
        <v/>
      </c>
      <c r="Y36" s="1296" t="str">
        <f>IFERROR((((VLOOKUP($B36&amp;"|"&amp;$E36,'Carbon factors'!$D$7:$H$379,5,0)) *(IF($H36="",1,(1-$H36))))*$F36),"")</f>
        <v/>
      </c>
    </row>
    <row r="37" spans="1:25" x14ac:dyDescent="0.35">
      <c r="A37" s="898"/>
      <c r="B37" s="853"/>
      <c r="C37" s="186"/>
      <c r="D37" s="186"/>
      <c r="E37" s="579"/>
      <c r="F37" s="577"/>
      <c r="G37" s="579" t="s">
        <v>473</v>
      </c>
      <c r="H37" s="1492"/>
      <c r="I37" s="179"/>
      <c r="J37" s="861"/>
      <c r="K37" s="186"/>
      <c r="L37" s="691" t="str" cm="1">
        <f t="array" ref="L37">IFERROR((_xlfn.IFS(K37=$AE$12,"3",K37=$AE$13,"2",K37=$AE$14,"2",K37=$AE$15,"1",K37=$AE$16,"1"))*F37,"")</f>
        <v/>
      </c>
      <c r="M37" s="168"/>
      <c r="N37" s="186"/>
      <c r="O37" s="183" t="str">
        <f>IFERROR(M37/VLOOKUP(N37,'$ Conversion'!$A$9:$B$40,2,0),"")</f>
        <v/>
      </c>
      <c r="P37" s="212"/>
      <c r="Q37" s="1163" t="str">
        <f>IFERROR(IF(J37&gt;0,J37,(VLOOKUP($B37&amp;"|"&amp;$E37,'Carbon factors'!$D$7:$E$379,2,0)*(IF(H37="",1,(1-H37))))),"")</f>
        <v/>
      </c>
      <c r="R37" s="501" t="str">
        <f t="shared" si="0"/>
        <v/>
      </c>
      <c r="S37" s="501" t="str">
        <f t="shared" si="1"/>
        <v/>
      </c>
      <c r="T37" s="165" t="str">
        <f t="shared" si="2"/>
        <v>Scope 1</v>
      </c>
      <c r="U37" s="805" t="str">
        <f t="shared" si="3"/>
        <v/>
      </c>
      <c r="W37" s="1297" t="str">
        <f>IFERROR((((VLOOKUP($B37&amp;"|"&amp;$E37,'Carbon factors'!$D$7:$H$379,3,0)) *(IF($H37="",1,(1-$H37))))*$F37),"")</f>
        <v/>
      </c>
      <c r="X37" s="183" t="str">
        <f>IFERROR((((VLOOKUP($B37&amp;"|"&amp;$E37,'Carbon factors'!$D$7:$H$379,4,0)) *(IF($H37="",1,(1-$H37))))*$F37),"")</f>
        <v/>
      </c>
      <c r="Y37" s="1296" t="str">
        <f>IFERROR((((VLOOKUP($B37&amp;"|"&amp;$E37,'Carbon factors'!$D$7:$H$379,5,0)) *(IF($H37="",1,(1-$H37))))*$F37),"")</f>
        <v/>
      </c>
    </row>
    <row r="38" spans="1:25" x14ac:dyDescent="0.35">
      <c r="A38" s="898"/>
      <c r="B38" s="853"/>
      <c r="C38" s="186"/>
      <c r="D38" s="186"/>
      <c r="E38" s="579"/>
      <c r="F38" s="577"/>
      <c r="G38" s="579" t="s">
        <v>473</v>
      </c>
      <c r="H38" s="1492"/>
      <c r="I38" s="179"/>
      <c r="J38" s="861"/>
      <c r="K38" s="186"/>
      <c r="L38" s="691" t="str" cm="1">
        <f t="array" ref="L38">IFERROR((_xlfn.IFS(K38=$AE$12,"3",K38=$AE$13,"2",K38=$AE$14,"2",K38=$AE$15,"1",K38=$AE$16,"1"))*F38,"")</f>
        <v/>
      </c>
      <c r="M38" s="168"/>
      <c r="N38" s="186"/>
      <c r="O38" s="183" t="str">
        <f>IFERROR(M38/VLOOKUP(N38,'$ Conversion'!$A$9:$B$40,2,0),"")</f>
        <v/>
      </c>
      <c r="P38" s="212"/>
      <c r="Q38" s="1163" t="str">
        <f>IFERROR(IF(J38&gt;0,J38,(VLOOKUP($B38&amp;"|"&amp;$E38,'Carbon factors'!$D$7:$E$379,2,0)*(IF(H38="",1,(1-H38))))),"")</f>
        <v/>
      </c>
      <c r="R38" s="501" t="str">
        <f t="shared" si="0"/>
        <v/>
      </c>
      <c r="S38" s="501" t="str">
        <f t="shared" si="1"/>
        <v/>
      </c>
      <c r="T38" s="165" t="str">
        <f t="shared" si="2"/>
        <v>Scope 1</v>
      </c>
      <c r="U38" s="805" t="str">
        <f t="shared" si="3"/>
        <v/>
      </c>
      <c r="W38" s="1297" t="str">
        <f>IFERROR((((VLOOKUP($B38&amp;"|"&amp;$E38,'Carbon factors'!$D$7:$H$379,3,0)) *(IF($H38="",1,(1-$H38))))*$F38),"")</f>
        <v/>
      </c>
      <c r="X38" s="183" t="str">
        <f>IFERROR((((VLOOKUP($B38&amp;"|"&amp;$E38,'Carbon factors'!$D$7:$H$379,4,0)) *(IF($H38="",1,(1-$H38))))*$F38),"")</f>
        <v/>
      </c>
      <c r="Y38" s="1296" t="str">
        <f>IFERROR((((VLOOKUP($B38&amp;"|"&amp;$E38,'Carbon factors'!$D$7:$H$379,5,0)) *(IF($H38="",1,(1-$H38))))*$F38),"")</f>
        <v/>
      </c>
    </row>
    <row r="39" spans="1:25" x14ac:dyDescent="0.35">
      <c r="A39" s="898"/>
      <c r="B39" s="853"/>
      <c r="C39" s="186"/>
      <c r="D39" s="186"/>
      <c r="E39" s="579"/>
      <c r="F39" s="577"/>
      <c r="G39" s="579" t="s">
        <v>473</v>
      </c>
      <c r="H39" s="1492"/>
      <c r="I39" s="179"/>
      <c r="J39" s="861"/>
      <c r="K39" s="186"/>
      <c r="L39" s="691" t="str" cm="1">
        <f t="array" ref="L39">IFERROR((_xlfn.IFS(K39=$AE$12,"3",K39=$AE$13,"2",K39=$AE$14,"2",K39=$AE$15,"1",K39=$AE$16,"1"))*F39,"")</f>
        <v/>
      </c>
      <c r="M39" s="168"/>
      <c r="N39" s="186"/>
      <c r="O39" s="183" t="str">
        <f>IFERROR(M39/VLOOKUP(N39,'$ Conversion'!$A$9:$B$40,2,0),"")</f>
        <v/>
      </c>
      <c r="P39" s="212"/>
      <c r="Q39" s="1163" t="str">
        <f>IFERROR(IF(J39&gt;0,J39,(VLOOKUP($B39&amp;"|"&amp;$E39,'Carbon factors'!$D$7:$E$379,2,0)*(IF(H39="",1,(1-H39))))),"")</f>
        <v/>
      </c>
      <c r="R39" s="501" t="str">
        <f t="shared" si="0"/>
        <v/>
      </c>
      <c r="S39" s="501" t="str">
        <f t="shared" si="1"/>
        <v/>
      </c>
      <c r="T39" s="165" t="str">
        <f t="shared" si="2"/>
        <v>Scope 1</v>
      </c>
      <c r="U39" s="805" t="str">
        <f t="shared" si="3"/>
        <v/>
      </c>
      <c r="W39" s="1297" t="str">
        <f>IFERROR((((VLOOKUP($B39&amp;"|"&amp;$E39,'Carbon factors'!$D$7:$H$379,3,0)) *(IF($H39="",1,(1-$H39))))*$F39),"")</f>
        <v/>
      </c>
      <c r="X39" s="183" t="str">
        <f>IFERROR((((VLOOKUP($B39&amp;"|"&amp;$E39,'Carbon factors'!$D$7:$H$379,4,0)) *(IF($H39="",1,(1-$H39))))*$F39),"")</f>
        <v/>
      </c>
      <c r="Y39" s="1296" t="str">
        <f>IFERROR((((VLOOKUP($B39&amp;"|"&amp;$E39,'Carbon factors'!$D$7:$H$379,5,0)) *(IF($H39="",1,(1-$H39))))*$F39),"")</f>
        <v/>
      </c>
    </row>
    <row r="40" spans="1:25" x14ac:dyDescent="0.35">
      <c r="A40" s="898"/>
      <c r="B40" s="853"/>
      <c r="C40" s="186"/>
      <c r="D40" s="186"/>
      <c r="E40" s="579"/>
      <c r="F40" s="577"/>
      <c r="G40" s="579" t="s">
        <v>473</v>
      </c>
      <c r="H40" s="1492"/>
      <c r="I40" s="179"/>
      <c r="J40" s="861"/>
      <c r="K40" s="186"/>
      <c r="L40" s="691" t="str" cm="1">
        <f t="array" ref="L40">IFERROR((_xlfn.IFS(K40=$AE$12,"3",K40=$AE$13,"2",K40=$AE$14,"2",K40=$AE$15,"1",K40=$AE$16,"1"))*F40,"")</f>
        <v/>
      </c>
      <c r="M40" s="168"/>
      <c r="N40" s="186"/>
      <c r="O40" s="183" t="str">
        <f>IFERROR(M40/VLOOKUP(N40,'$ Conversion'!$A$9:$B$40,2,0),"")</f>
        <v/>
      </c>
      <c r="P40" s="212"/>
      <c r="Q40" s="1163" t="str">
        <f>IFERROR(IF(J40&gt;0,J40,(VLOOKUP($B40&amp;"|"&amp;$E40,'Carbon factors'!$D$7:$E$379,2,0)*(IF(H40="",1,(1-H40))))),"")</f>
        <v/>
      </c>
      <c r="R40" s="501" t="str">
        <f t="shared" si="0"/>
        <v/>
      </c>
      <c r="S40" s="501" t="str">
        <f t="shared" si="1"/>
        <v/>
      </c>
      <c r="T40" s="165" t="str">
        <f t="shared" si="2"/>
        <v>Scope 1</v>
      </c>
      <c r="U40" s="805" t="str">
        <f t="shared" si="3"/>
        <v/>
      </c>
      <c r="W40" s="1297" t="str">
        <f>IFERROR((((VLOOKUP($B40&amp;"|"&amp;$E40,'Carbon factors'!$D$7:$H$379,3,0)) *(IF($H40="",1,(1-$H40))))*$F40),"")</f>
        <v/>
      </c>
      <c r="X40" s="183" t="str">
        <f>IFERROR((((VLOOKUP($B40&amp;"|"&amp;$E40,'Carbon factors'!$D$7:$H$379,4,0)) *(IF($H40="",1,(1-$H40))))*$F40),"")</f>
        <v/>
      </c>
      <c r="Y40" s="1296" t="str">
        <f>IFERROR((((VLOOKUP($B40&amp;"|"&amp;$E40,'Carbon factors'!$D$7:$H$379,5,0)) *(IF($H40="",1,(1-$H40))))*$F40),"")</f>
        <v/>
      </c>
    </row>
    <row r="41" spans="1:25" x14ac:dyDescent="0.35">
      <c r="A41" s="898"/>
      <c r="B41" s="853"/>
      <c r="C41" s="186"/>
      <c r="D41" s="186"/>
      <c r="E41" s="579"/>
      <c r="F41" s="577"/>
      <c r="G41" s="579" t="s">
        <v>473</v>
      </c>
      <c r="H41" s="1492"/>
      <c r="I41" s="179"/>
      <c r="J41" s="861"/>
      <c r="K41" s="186"/>
      <c r="L41" s="691" t="str" cm="1">
        <f t="array" ref="L41">IFERROR((_xlfn.IFS(K41=$AE$12,"3",K41=$AE$13,"2",K41=$AE$14,"2",K41=$AE$15,"1",K41=$AE$16,"1"))*F41,"")</f>
        <v/>
      </c>
      <c r="M41" s="168"/>
      <c r="N41" s="186"/>
      <c r="O41" s="183" t="str">
        <f>IFERROR(M41/VLOOKUP(N41,'$ Conversion'!$A$9:$B$40,2,0),"")</f>
        <v/>
      </c>
      <c r="P41" s="212"/>
      <c r="Q41" s="1163" t="str">
        <f>IFERROR(IF(J41&gt;0,J41,(VLOOKUP($B41&amp;"|"&amp;$E41,'Carbon factors'!$D$7:$E$379,2,0)*(IF(H41="",1,(1-H41))))),"")</f>
        <v/>
      </c>
      <c r="R41" s="501" t="str">
        <f t="shared" si="0"/>
        <v/>
      </c>
      <c r="S41" s="501" t="str">
        <f t="shared" si="1"/>
        <v/>
      </c>
      <c r="T41" s="165" t="str">
        <f t="shared" si="2"/>
        <v>Scope 1</v>
      </c>
      <c r="U41" s="805" t="str">
        <f t="shared" si="3"/>
        <v/>
      </c>
      <c r="W41" s="1297" t="str">
        <f>IFERROR((((VLOOKUP($B41&amp;"|"&amp;$E41,'Carbon factors'!$D$7:$H$379,3,0)) *(IF($H41="",1,(1-$H41))))*$F41),"")</f>
        <v/>
      </c>
      <c r="X41" s="183" t="str">
        <f>IFERROR((((VLOOKUP($B41&amp;"|"&amp;$E41,'Carbon factors'!$D$7:$H$379,4,0)) *(IF($H41="",1,(1-$H41))))*$F41),"")</f>
        <v/>
      </c>
      <c r="Y41" s="1296" t="str">
        <f>IFERROR((((VLOOKUP($B41&amp;"|"&amp;$E41,'Carbon factors'!$D$7:$H$379,5,0)) *(IF($H41="",1,(1-$H41))))*$F41),"")</f>
        <v/>
      </c>
    </row>
    <row r="42" spans="1:25" x14ac:dyDescent="0.35">
      <c r="A42" s="898"/>
      <c r="B42" s="853"/>
      <c r="C42" s="186"/>
      <c r="D42" s="186"/>
      <c r="E42" s="579"/>
      <c r="F42" s="577"/>
      <c r="G42" s="579" t="s">
        <v>473</v>
      </c>
      <c r="H42" s="1492"/>
      <c r="I42" s="179"/>
      <c r="J42" s="861"/>
      <c r="K42" s="186"/>
      <c r="L42" s="691" t="str" cm="1">
        <f t="array" ref="L42">IFERROR((_xlfn.IFS(K42=$AE$12,"3",K42=$AE$13,"2",K42=$AE$14,"2",K42=$AE$15,"1",K42=$AE$16,"1"))*F42,"")</f>
        <v/>
      </c>
      <c r="M42" s="168"/>
      <c r="N42" s="186"/>
      <c r="O42" s="183" t="str">
        <f>IFERROR(M42/VLOOKUP(N42,'$ Conversion'!$A$9:$B$40,2,0),"")</f>
        <v/>
      </c>
      <c r="P42" s="212"/>
      <c r="Q42" s="1163" t="str">
        <f>IFERROR(IF(J42&gt;0,J42,(VLOOKUP($B42&amp;"|"&amp;$E42,'Carbon factors'!$D$7:$E$379,2,0)*(IF(H42="",1,(1-H42))))),"")</f>
        <v/>
      </c>
      <c r="R42" s="501" t="str">
        <f t="shared" si="0"/>
        <v/>
      </c>
      <c r="S42" s="501" t="str">
        <f t="shared" si="1"/>
        <v/>
      </c>
      <c r="T42" s="165" t="str">
        <f t="shared" si="2"/>
        <v>Scope 1</v>
      </c>
      <c r="U42" s="805" t="str">
        <f t="shared" si="3"/>
        <v/>
      </c>
      <c r="W42" s="1297" t="str">
        <f>IFERROR((((VLOOKUP($B42&amp;"|"&amp;$E42,'Carbon factors'!$D$7:$H$379,3,0)) *(IF($H42="",1,(1-$H42))))*$F42),"")</f>
        <v/>
      </c>
      <c r="X42" s="183" t="str">
        <f>IFERROR((((VLOOKUP($B42&amp;"|"&amp;$E42,'Carbon factors'!$D$7:$H$379,4,0)) *(IF($H42="",1,(1-$H42))))*$F42),"")</f>
        <v/>
      </c>
      <c r="Y42" s="1296" t="str">
        <f>IFERROR((((VLOOKUP($B42&amp;"|"&amp;$E42,'Carbon factors'!$D$7:$H$379,5,0)) *(IF($H42="",1,(1-$H42))))*$F42),"")</f>
        <v/>
      </c>
    </row>
    <row r="43" spans="1:25" x14ac:dyDescent="0.35">
      <c r="A43" s="898"/>
      <c r="B43" s="853"/>
      <c r="C43" s="186"/>
      <c r="D43" s="186"/>
      <c r="E43" s="579"/>
      <c r="F43" s="577"/>
      <c r="G43" s="579" t="s">
        <v>473</v>
      </c>
      <c r="H43" s="1492"/>
      <c r="I43" s="179"/>
      <c r="J43" s="861"/>
      <c r="K43" s="186"/>
      <c r="L43" s="691" t="str" cm="1">
        <f t="array" ref="L43">IFERROR((_xlfn.IFS(K43=$AE$12,"3",K43=$AE$13,"2",K43=$AE$14,"2",K43=$AE$15,"1",K43=$AE$16,"1"))*F43,"")</f>
        <v/>
      </c>
      <c r="M43" s="168"/>
      <c r="N43" s="186"/>
      <c r="O43" s="183" t="str">
        <f>IFERROR(M43/VLOOKUP(N43,'$ Conversion'!$A$9:$B$40,2,0),"")</f>
        <v/>
      </c>
      <c r="P43" s="212"/>
      <c r="Q43" s="1163" t="str">
        <f>IFERROR(IF(J43&gt;0,J43,(VLOOKUP($B43&amp;"|"&amp;$E43,'Carbon factors'!$D$7:$E$379,2,0)*(IF(H43="",1,(1-H43))))),"")</f>
        <v/>
      </c>
      <c r="R43" s="501" t="str">
        <f t="shared" si="0"/>
        <v/>
      </c>
      <c r="S43" s="501" t="str">
        <f t="shared" si="1"/>
        <v/>
      </c>
      <c r="T43" s="165" t="str">
        <f t="shared" si="2"/>
        <v>Scope 1</v>
      </c>
      <c r="U43" s="805" t="str">
        <f t="shared" si="3"/>
        <v/>
      </c>
      <c r="W43" s="1297" t="str">
        <f>IFERROR((((VLOOKUP($B43&amp;"|"&amp;$E43,'Carbon factors'!$D$7:$H$379,3,0)) *(IF($H43="",1,(1-$H43))))*$F43),"")</f>
        <v/>
      </c>
      <c r="X43" s="183" t="str">
        <f>IFERROR((((VLOOKUP($B43&amp;"|"&amp;$E43,'Carbon factors'!$D$7:$H$379,4,0)) *(IF($H43="",1,(1-$H43))))*$F43),"")</f>
        <v/>
      </c>
      <c r="Y43" s="1296" t="str">
        <f>IFERROR((((VLOOKUP($B43&amp;"|"&amp;$E43,'Carbon factors'!$D$7:$H$379,5,0)) *(IF($H43="",1,(1-$H43))))*$F43),"")</f>
        <v/>
      </c>
    </row>
    <row r="44" spans="1:25" x14ac:dyDescent="0.35">
      <c r="A44" s="898"/>
      <c r="B44" s="853"/>
      <c r="C44" s="186"/>
      <c r="D44" s="186"/>
      <c r="E44" s="579"/>
      <c r="F44" s="577"/>
      <c r="G44" s="579" t="s">
        <v>473</v>
      </c>
      <c r="H44" s="1492"/>
      <c r="I44" s="179"/>
      <c r="J44" s="861"/>
      <c r="K44" s="186"/>
      <c r="L44" s="691" t="str" cm="1">
        <f t="array" ref="L44">IFERROR((_xlfn.IFS(K44=$AE$12,"3",K44=$AE$13,"2",K44=$AE$14,"2",K44=$AE$15,"1",K44=$AE$16,"1"))*F44,"")</f>
        <v/>
      </c>
      <c r="M44" s="168"/>
      <c r="N44" s="186"/>
      <c r="O44" s="183" t="str">
        <f>IFERROR(M44/VLOOKUP(N44,'$ Conversion'!$A$9:$B$40,2,0),"")</f>
        <v/>
      </c>
      <c r="P44" s="212"/>
      <c r="Q44" s="1163" t="str">
        <f>IFERROR(IF(J44&gt;0,J44,(VLOOKUP($B44&amp;"|"&amp;$E44,'Carbon factors'!$D$7:$E$379,2,0)*(IF(H44="",1,(1-H44))))),"")</f>
        <v/>
      </c>
      <c r="R44" s="501" t="str">
        <f t="shared" si="0"/>
        <v/>
      </c>
      <c r="S44" s="501" t="str">
        <f t="shared" si="1"/>
        <v/>
      </c>
      <c r="T44" s="165" t="str">
        <f t="shared" si="2"/>
        <v>Scope 1</v>
      </c>
      <c r="U44" s="805" t="str">
        <f t="shared" si="3"/>
        <v/>
      </c>
      <c r="W44" s="1297" t="str">
        <f>IFERROR((((VLOOKUP($B44&amp;"|"&amp;$E44,'Carbon factors'!$D$7:$H$379,3,0)) *(IF($H44="",1,(1-$H44))))*$F44),"")</f>
        <v/>
      </c>
      <c r="X44" s="183" t="str">
        <f>IFERROR((((VLOOKUP($B44&amp;"|"&amp;$E44,'Carbon factors'!$D$7:$H$379,4,0)) *(IF($H44="",1,(1-$H44))))*$F44),"")</f>
        <v/>
      </c>
      <c r="Y44" s="1296" t="str">
        <f>IFERROR((((VLOOKUP($B44&amp;"|"&amp;$E44,'Carbon factors'!$D$7:$H$379,5,0)) *(IF($H44="",1,(1-$H44))))*$F44),"")</f>
        <v/>
      </c>
    </row>
    <row r="45" spans="1:25" x14ac:dyDescent="0.35">
      <c r="A45" s="898"/>
      <c r="B45" s="853"/>
      <c r="C45" s="186"/>
      <c r="D45" s="186"/>
      <c r="E45" s="579"/>
      <c r="F45" s="577"/>
      <c r="G45" s="579" t="s">
        <v>473</v>
      </c>
      <c r="H45" s="1492"/>
      <c r="I45" s="179"/>
      <c r="J45" s="861"/>
      <c r="K45" s="186"/>
      <c r="L45" s="691" t="str" cm="1">
        <f t="array" ref="L45">IFERROR((_xlfn.IFS(K45=$AE$12,"3",K45=$AE$13,"2",K45=$AE$14,"2",K45=$AE$15,"1",K45=$AE$16,"1"))*F45,"")</f>
        <v/>
      </c>
      <c r="M45" s="168"/>
      <c r="N45" s="186"/>
      <c r="O45" s="183" t="str">
        <f>IFERROR(M45/VLOOKUP(N45,'$ Conversion'!$A$9:$B$40,2,0),"")</f>
        <v/>
      </c>
      <c r="P45" s="212"/>
      <c r="Q45" s="1163" t="str">
        <f>IFERROR(IF(J45&gt;0,J45,(VLOOKUP($B45&amp;"|"&amp;$E45,'Carbon factors'!$D$7:$E$379,2,0)*(IF(H45="",1,(1-H45))))),"")</f>
        <v/>
      </c>
      <c r="R45" s="501" t="str">
        <f t="shared" si="0"/>
        <v/>
      </c>
      <c r="S45" s="501" t="str">
        <f t="shared" si="1"/>
        <v/>
      </c>
      <c r="T45" s="165" t="str">
        <f t="shared" si="2"/>
        <v>Scope 1</v>
      </c>
      <c r="U45" s="805" t="str">
        <f t="shared" si="3"/>
        <v/>
      </c>
      <c r="W45" s="1297" t="str">
        <f>IFERROR((((VLOOKUP($B45&amp;"|"&amp;$E45,'Carbon factors'!$D$7:$H$379,3,0)) *(IF($H45="",1,(1-$H45))))*$F45),"")</f>
        <v/>
      </c>
      <c r="X45" s="183" t="str">
        <f>IFERROR((((VLOOKUP($B45&amp;"|"&amp;$E45,'Carbon factors'!$D$7:$H$379,4,0)) *(IF($H45="",1,(1-$H45))))*$F45),"")</f>
        <v/>
      </c>
      <c r="Y45" s="1296" t="str">
        <f>IFERROR((((VLOOKUP($B45&amp;"|"&amp;$E45,'Carbon factors'!$D$7:$H$379,5,0)) *(IF($H45="",1,(1-$H45))))*$F45),"")</f>
        <v/>
      </c>
    </row>
    <row r="46" spans="1:25" x14ac:dyDescent="0.35">
      <c r="A46" s="898"/>
      <c r="B46" s="853"/>
      <c r="C46" s="186"/>
      <c r="D46" s="186"/>
      <c r="E46" s="579"/>
      <c r="F46" s="577"/>
      <c r="G46" s="579" t="s">
        <v>473</v>
      </c>
      <c r="H46" s="1492"/>
      <c r="I46" s="179"/>
      <c r="J46" s="861"/>
      <c r="K46" s="186"/>
      <c r="L46" s="691" t="str" cm="1">
        <f t="array" ref="L46">IFERROR((_xlfn.IFS(K46=$AE$12,"3",K46=$AE$13,"2",K46=$AE$14,"2",K46=$AE$15,"1",K46=$AE$16,"1"))*F46,"")</f>
        <v/>
      </c>
      <c r="M46" s="168"/>
      <c r="N46" s="186"/>
      <c r="O46" s="183" t="str">
        <f>IFERROR(M46/VLOOKUP(N46,'$ Conversion'!$A$9:$B$40,2,0),"")</f>
        <v/>
      </c>
      <c r="P46" s="212"/>
      <c r="Q46" s="1163" t="str">
        <f>IFERROR(IF(J46&gt;0,J46,(VLOOKUP($B46&amp;"|"&amp;$E46,'Carbon factors'!$D$7:$E$379,2,0)*(IF(H46="",1,(1-H46))))),"")</f>
        <v/>
      </c>
      <c r="R46" s="501" t="str">
        <f t="shared" si="0"/>
        <v/>
      </c>
      <c r="S46" s="501" t="str">
        <f t="shared" si="1"/>
        <v/>
      </c>
      <c r="T46" s="165" t="str">
        <f t="shared" si="2"/>
        <v>Scope 1</v>
      </c>
      <c r="U46" s="805" t="str">
        <f t="shared" si="3"/>
        <v/>
      </c>
      <c r="W46" s="1297" t="str">
        <f>IFERROR((((VLOOKUP($B46&amp;"|"&amp;$E46,'Carbon factors'!$D$7:$H$379,3,0)) *(IF($H46="",1,(1-$H46))))*$F46),"")</f>
        <v/>
      </c>
      <c r="X46" s="183" t="str">
        <f>IFERROR((((VLOOKUP($B46&amp;"|"&amp;$E46,'Carbon factors'!$D$7:$H$379,4,0)) *(IF($H46="",1,(1-$H46))))*$F46),"")</f>
        <v/>
      </c>
      <c r="Y46" s="1296" t="str">
        <f>IFERROR((((VLOOKUP($B46&amp;"|"&amp;$E46,'Carbon factors'!$D$7:$H$379,5,0)) *(IF($H46="",1,(1-$H46))))*$F46),"")</f>
        <v/>
      </c>
    </row>
    <row r="47" spans="1:25" x14ac:dyDescent="0.35">
      <c r="A47" s="898"/>
      <c r="B47" s="853"/>
      <c r="C47" s="186"/>
      <c r="D47" s="186"/>
      <c r="E47" s="579"/>
      <c r="F47" s="577"/>
      <c r="G47" s="579" t="s">
        <v>473</v>
      </c>
      <c r="H47" s="1492"/>
      <c r="I47" s="179"/>
      <c r="J47" s="861"/>
      <c r="K47" s="186"/>
      <c r="L47" s="691" t="str" cm="1">
        <f t="array" ref="L47">IFERROR((_xlfn.IFS(K47=$AE$12,"3",K47=$AE$13,"2",K47=$AE$14,"2",K47=$AE$15,"1",K47=$AE$16,"1"))*F47,"")</f>
        <v/>
      </c>
      <c r="M47" s="168"/>
      <c r="N47" s="186"/>
      <c r="O47" s="183" t="str">
        <f>IFERROR(M47/VLOOKUP(N47,'$ Conversion'!$A$9:$B$40,2,0),"")</f>
        <v/>
      </c>
      <c r="P47" s="212"/>
      <c r="Q47" s="1163" t="str">
        <f>IFERROR(IF(J47&gt;0,J47,(VLOOKUP($B47&amp;"|"&amp;$E47,'Carbon factors'!$D$7:$E$379,2,0)*(IF(H47="",1,(1-H47))))),"")</f>
        <v/>
      </c>
      <c r="R47" s="501" t="str">
        <f t="shared" si="0"/>
        <v/>
      </c>
      <c r="S47" s="501" t="str">
        <f t="shared" si="1"/>
        <v/>
      </c>
      <c r="T47" s="165" t="str">
        <f t="shared" si="2"/>
        <v>Scope 1</v>
      </c>
      <c r="U47" s="805" t="str">
        <f t="shared" si="3"/>
        <v/>
      </c>
      <c r="W47" s="1297" t="str">
        <f>IFERROR((((VLOOKUP($B47&amp;"|"&amp;$E47,'Carbon factors'!$D$7:$H$379,3,0)) *(IF($H47="",1,(1-$H47))))*$F47),"")</f>
        <v/>
      </c>
      <c r="X47" s="183" t="str">
        <f>IFERROR((((VLOOKUP($B47&amp;"|"&amp;$E47,'Carbon factors'!$D$7:$H$379,4,0)) *(IF($H47="",1,(1-$H47))))*$F47),"")</f>
        <v/>
      </c>
      <c r="Y47" s="1296" t="str">
        <f>IFERROR((((VLOOKUP($B47&amp;"|"&amp;$E47,'Carbon factors'!$D$7:$H$379,5,0)) *(IF($H47="",1,(1-$H47))))*$F47),"")</f>
        <v/>
      </c>
    </row>
    <row r="48" spans="1:25" x14ac:dyDescent="0.35">
      <c r="A48" s="898"/>
      <c r="B48" s="853"/>
      <c r="C48" s="186"/>
      <c r="D48" s="186"/>
      <c r="E48" s="579"/>
      <c r="F48" s="577"/>
      <c r="G48" s="579" t="s">
        <v>473</v>
      </c>
      <c r="H48" s="1492"/>
      <c r="I48" s="179"/>
      <c r="J48" s="861"/>
      <c r="K48" s="186"/>
      <c r="L48" s="691" t="str" cm="1">
        <f t="array" ref="L48">IFERROR((_xlfn.IFS(K48=$AE$12,"3",K48=$AE$13,"2",K48=$AE$14,"2",K48=$AE$15,"1",K48=$AE$16,"1"))*F48,"")</f>
        <v/>
      </c>
      <c r="M48" s="168"/>
      <c r="N48" s="186"/>
      <c r="O48" s="183" t="str">
        <f>IFERROR(M48/VLOOKUP(N48,'$ Conversion'!$A$9:$B$40,2,0),"")</f>
        <v/>
      </c>
      <c r="P48" s="212"/>
      <c r="Q48" s="1163" t="str">
        <f>IFERROR(IF(J48&gt;0,J48,(VLOOKUP($B48&amp;"|"&amp;$E48,'Carbon factors'!$D$7:$E$379,2,0)*(IF(H48="",1,(1-H48))))),"")</f>
        <v/>
      </c>
      <c r="R48" s="501" t="str">
        <f t="shared" si="0"/>
        <v/>
      </c>
      <c r="S48" s="501" t="str">
        <f t="shared" si="1"/>
        <v/>
      </c>
      <c r="T48" s="165" t="str">
        <f t="shared" si="2"/>
        <v>Scope 1</v>
      </c>
      <c r="U48" s="805" t="str">
        <f t="shared" si="3"/>
        <v/>
      </c>
      <c r="W48" s="1297" t="str">
        <f>IFERROR((((VLOOKUP($B48&amp;"|"&amp;$E48,'Carbon factors'!$D$7:$H$379,3,0)) *(IF($H48="",1,(1-$H48))))*$F48),"")</f>
        <v/>
      </c>
      <c r="X48" s="183" t="str">
        <f>IFERROR((((VLOOKUP($B48&amp;"|"&amp;$E48,'Carbon factors'!$D$7:$H$379,4,0)) *(IF($H48="",1,(1-$H48))))*$F48),"")</f>
        <v/>
      </c>
      <c r="Y48" s="1296" t="str">
        <f>IFERROR((((VLOOKUP($B48&amp;"|"&amp;$E48,'Carbon factors'!$D$7:$H$379,5,0)) *(IF($H48="",1,(1-$H48))))*$F48),"")</f>
        <v/>
      </c>
    </row>
    <row r="49" spans="1:25" x14ac:dyDescent="0.35">
      <c r="A49" s="898"/>
      <c r="B49" s="853"/>
      <c r="C49" s="186"/>
      <c r="D49" s="186"/>
      <c r="E49" s="579"/>
      <c r="F49" s="577"/>
      <c r="G49" s="579" t="s">
        <v>473</v>
      </c>
      <c r="H49" s="1492"/>
      <c r="I49" s="179"/>
      <c r="J49" s="861"/>
      <c r="K49" s="186"/>
      <c r="L49" s="691" t="str" cm="1">
        <f t="array" ref="L49">IFERROR((_xlfn.IFS(K49=$AE$12,"3",K49=$AE$13,"2",K49=$AE$14,"2",K49=$AE$15,"1",K49=$AE$16,"1"))*F49,"")</f>
        <v/>
      </c>
      <c r="M49" s="168"/>
      <c r="N49" s="186"/>
      <c r="O49" s="183" t="str">
        <f>IFERROR(M49/VLOOKUP(N49,'$ Conversion'!$A$9:$B$40,2,0),"")</f>
        <v/>
      </c>
      <c r="P49" s="212"/>
      <c r="Q49" s="1163" t="str">
        <f>IFERROR(IF(J49&gt;0,J49,(VLOOKUP($B49&amp;"|"&amp;$E49,'Carbon factors'!$D$7:$E$379,2,0)*(IF(H49="",1,(1-H49))))),"")</f>
        <v/>
      </c>
      <c r="R49" s="501" t="str">
        <f t="shared" si="0"/>
        <v/>
      </c>
      <c r="S49" s="501" t="str">
        <f t="shared" si="1"/>
        <v/>
      </c>
      <c r="T49" s="165" t="str">
        <f t="shared" si="2"/>
        <v>Scope 1</v>
      </c>
      <c r="U49" s="805" t="str">
        <f t="shared" si="3"/>
        <v/>
      </c>
      <c r="W49" s="1297" t="str">
        <f>IFERROR((((VLOOKUP($B49&amp;"|"&amp;$E49,'Carbon factors'!$D$7:$H$379,3,0)) *(IF($H49="",1,(1-$H49))))*$F49),"")</f>
        <v/>
      </c>
      <c r="X49" s="183" t="str">
        <f>IFERROR((((VLOOKUP($B49&amp;"|"&amp;$E49,'Carbon factors'!$D$7:$H$379,4,0)) *(IF($H49="",1,(1-$H49))))*$F49),"")</f>
        <v/>
      </c>
      <c r="Y49" s="1296" t="str">
        <f>IFERROR((((VLOOKUP($B49&amp;"|"&amp;$E49,'Carbon factors'!$D$7:$H$379,5,0)) *(IF($H49="",1,(1-$H49))))*$F49),"")</f>
        <v/>
      </c>
    </row>
    <row r="50" spans="1:25" x14ac:dyDescent="0.35">
      <c r="A50" s="898"/>
      <c r="B50" s="853"/>
      <c r="C50" s="186"/>
      <c r="D50" s="186"/>
      <c r="E50" s="579"/>
      <c r="F50" s="577"/>
      <c r="G50" s="579" t="s">
        <v>473</v>
      </c>
      <c r="H50" s="1492"/>
      <c r="I50" s="179"/>
      <c r="J50" s="861"/>
      <c r="K50" s="186"/>
      <c r="L50" s="691" t="str" cm="1">
        <f t="array" ref="L50">IFERROR((_xlfn.IFS(K50=$AE$12,"3",K50=$AE$13,"2",K50=$AE$14,"2",K50=$AE$15,"1",K50=$AE$16,"1"))*F50,"")</f>
        <v/>
      </c>
      <c r="M50" s="168"/>
      <c r="N50" s="186"/>
      <c r="O50" s="183" t="str">
        <f>IFERROR(M50/VLOOKUP(N50,'$ Conversion'!$A$9:$B$40,2,0),"")</f>
        <v/>
      </c>
      <c r="P50" s="212"/>
      <c r="Q50" s="1163" t="str">
        <f>IFERROR(IF(J50&gt;0,J50,(VLOOKUP($B50&amp;"|"&amp;$E50,'Carbon factors'!$D$7:$E$379,2,0)*(IF(H50="",1,(1-H50))))),"")</f>
        <v/>
      </c>
      <c r="R50" s="501" t="str">
        <f t="shared" si="0"/>
        <v/>
      </c>
      <c r="S50" s="501" t="str">
        <f t="shared" si="1"/>
        <v/>
      </c>
      <c r="T50" s="165" t="str">
        <f t="shared" si="2"/>
        <v>Scope 1</v>
      </c>
      <c r="U50" s="805" t="str">
        <f t="shared" si="3"/>
        <v/>
      </c>
      <c r="W50" s="1297" t="str">
        <f>IFERROR((((VLOOKUP($B50&amp;"|"&amp;$E50,'Carbon factors'!$D$7:$H$379,3,0)) *(IF($H50="",1,(1-$H50))))*$F50),"")</f>
        <v/>
      </c>
      <c r="X50" s="183" t="str">
        <f>IFERROR((((VLOOKUP($B50&amp;"|"&amp;$E50,'Carbon factors'!$D$7:$H$379,4,0)) *(IF($H50="",1,(1-$H50))))*$F50),"")</f>
        <v/>
      </c>
      <c r="Y50" s="1296" t="str">
        <f>IFERROR((((VLOOKUP($B50&amp;"|"&amp;$E50,'Carbon factors'!$D$7:$H$379,5,0)) *(IF($H50="",1,(1-$H50))))*$F50),"")</f>
        <v/>
      </c>
    </row>
    <row r="51" spans="1:25" x14ac:dyDescent="0.35">
      <c r="A51" s="898"/>
      <c r="B51" s="853"/>
      <c r="C51" s="186"/>
      <c r="D51" s="186"/>
      <c r="E51" s="579"/>
      <c r="F51" s="577"/>
      <c r="G51" s="579" t="s">
        <v>473</v>
      </c>
      <c r="H51" s="1492"/>
      <c r="I51" s="179"/>
      <c r="J51" s="861"/>
      <c r="K51" s="186"/>
      <c r="L51" s="691" t="str" cm="1">
        <f t="array" ref="L51">IFERROR((_xlfn.IFS(K51=$AE$12,"3",K51=$AE$13,"2",K51=$AE$14,"2",K51=$AE$15,"1",K51=$AE$16,"1"))*F51,"")</f>
        <v/>
      </c>
      <c r="M51" s="168"/>
      <c r="N51" s="186"/>
      <c r="O51" s="183" t="str">
        <f>IFERROR(M51/VLOOKUP(N51,'$ Conversion'!$A$9:$B$40,2,0),"")</f>
        <v/>
      </c>
      <c r="P51" s="212"/>
      <c r="Q51" s="1163" t="str">
        <f>IFERROR(IF(J51&gt;0,J51,(VLOOKUP($B51&amp;"|"&amp;$E51,'Carbon factors'!$D$7:$E$379,2,0)*(IF(H51="",1,(1-H51))))),"")</f>
        <v/>
      </c>
      <c r="R51" s="501" t="str">
        <f t="shared" si="0"/>
        <v/>
      </c>
      <c r="S51" s="501" t="str">
        <f t="shared" si="1"/>
        <v/>
      </c>
      <c r="T51" s="165" t="str">
        <f t="shared" si="2"/>
        <v>Scope 1</v>
      </c>
      <c r="U51" s="805" t="str">
        <f t="shared" si="3"/>
        <v/>
      </c>
      <c r="W51" s="1297" t="str">
        <f>IFERROR((((VLOOKUP($B51&amp;"|"&amp;$E51,'Carbon factors'!$D$7:$H$379,3,0)) *(IF($H51="",1,(1-$H51))))*$F51),"")</f>
        <v/>
      </c>
      <c r="X51" s="183" t="str">
        <f>IFERROR((((VLOOKUP($B51&amp;"|"&amp;$E51,'Carbon factors'!$D$7:$H$379,4,0)) *(IF($H51="",1,(1-$H51))))*$F51),"")</f>
        <v/>
      </c>
      <c r="Y51" s="1296" t="str">
        <f>IFERROR((((VLOOKUP($B51&amp;"|"&amp;$E51,'Carbon factors'!$D$7:$H$379,5,0)) *(IF($H51="",1,(1-$H51))))*$F51),"")</f>
        <v/>
      </c>
    </row>
    <row r="52" spans="1:25" x14ac:dyDescent="0.35">
      <c r="A52" s="898"/>
      <c r="B52" s="853"/>
      <c r="C52" s="186"/>
      <c r="D52" s="186"/>
      <c r="E52" s="579"/>
      <c r="F52" s="577"/>
      <c r="G52" s="579" t="s">
        <v>473</v>
      </c>
      <c r="H52" s="1492"/>
      <c r="I52" s="179"/>
      <c r="J52" s="861"/>
      <c r="K52" s="186"/>
      <c r="L52" s="691" t="str" cm="1">
        <f t="array" ref="L52">IFERROR((_xlfn.IFS(K52=$AE$12,"3",K52=$AE$13,"2",K52=$AE$14,"2",K52=$AE$15,"1",K52=$AE$16,"1"))*F52,"")</f>
        <v/>
      </c>
      <c r="M52" s="168"/>
      <c r="N52" s="186"/>
      <c r="O52" s="183" t="str">
        <f>IFERROR(M52/VLOOKUP(N52,'$ Conversion'!$A$9:$B$40,2,0),"")</f>
        <v/>
      </c>
      <c r="P52" s="212"/>
      <c r="Q52" s="1163" t="str">
        <f>IFERROR(IF(J52&gt;0,J52,(VLOOKUP($B52&amp;"|"&amp;$E52,'Carbon factors'!$D$7:$E$379,2,0)*(IF(H52="",1,(1-H52))))),"")</f>
        <v/>
      </c>
      <c r="R52" s="501" t="str">
        <f t="shared" si="0"/>
        <v/>
      </c>
      <c r="S52" s="501" t="str">
        <f t="shared" si="1"/>
        <v/>
      </c>
      <c r="T52" s="165" t="str">
        <f t="shared" si="2"/>
        <v>Scope 1</v>
      </c>
      <c r="U52" s="805" t="str">
        <f t="shared" si="3"/>
        <v/>
      </c>
      <c r="W52" s="1297" t="str">
        <f>IFERROR((((VLOOKUP($B52&amp;"|"&amp;$E52,'Carbon factors'!$D$7:$H$379,3,0)) *(IF($H52="",1,(1-$H52))))*$F52),"")</f>
        <v/>
      </c>
      <c r="X52" s="183" t="str">
        <f>IFERROR((((VLOOKUP($B52&amp;"|"&amp;$E52,'Carbon factors'!$D$7:$H$379,4,0)) *(IF($H52="",1,(1-$H52))))*$F52),"")</f>
        <v/>
      </c>
      <c r="Y52" s="1296" t="str">
        <f>IFERROR((((VLOOKUP($B52&amp;"|"&amp;$E52,'Carbon factors'!$D$7:$H$379,5,0)) *(IF($H52="",1,(1-$H52))))*$F52),"")</f>
        <v/>
      </c>
    </row>
    <row r="53" spans="1:25" x14ac:dyDescent="0.35">
      <c r="A53" s="898"/>
      <c r="B53" s="853"/>
      <c r="C53" s="186"/>
      <c r="D53" s="186"/>
      <c r="E53" s="579"/>
      <c r="F53" s="577"/>
      <c r="G53" s="579" t="s">
        <v>473</v>
      </c>
      <c r="H53" s="1492"/>
      <c r="I53" s="179"/>
      <c r="J53" s="861"/>
      <c r="K53" s="186"/>
      <c r="L53" s="691" t="str" cm="1">
        <f t="array" ref="L53">IFERROR((_xlfn.IFS(K53=$AE$12,"3",K53=$AE$13,"2",K53=$AE$14,"2",K53=$AE$15,"1",K53=$AE$16,"1"))*F53,"")</f>
        <v/>
      </c>
      <c r="M53" s="168"/>
      <c r="N53" s="186"/>
      <c r="O53" s="183" t="str">
        <f>IFERROR(M53/VLOOKUP(N53,'$ Conversion'!$A$9:$B$40,2,0),"")</f>
        <v/>
      </c>
      <c r="P53" s="212"/>
      <c r="Q53" s="1163" t="str">
        <f>IFERROR(IF(J53&gt;0,J53,(VLOOKUP($B53&amp;"|"&amp;$E53,'Carbon factors'!$D$7:$E$379,2,0)*(IF(H53="",1,(1-H53))))),"")</f>
        <v/>
      </c>
      <c r="R53" s="501" t="str">
        <f t="shared" si="0"/>
        <v/>
      </c>
      <c r="S53" s="501" t="str">
        <f t="shared" si="1"/>
        <v/>
      </c>
      <c r="T53" s="165" t="str">
        <f t="shared" si="2"/>
        <v>Scope 1</v>
      </c>
      <c r="U53" s="805" t="str">
        <f t="shared" si="3"/>
        <v/>
      </c>
      <c r="W53" s="1297" t="str">
        <f>IFERROR((((VLOOKUP($B53&amp;"|"&amp;$E53,'Carbon factors'!$D$7:$H$379,3,0)) *(IF($H53="",1,(1-$H53))))*$F53),"")</f>
        <v/>
      </c>
      <c r="X53" s="183" t="str">
        <f>IFERROR((((VLOOKUP($B53&amp;"|"&amp;$E53,'Carbon factors'!$D$7:$H$379,4,0)) *(IF($H53="",1,(1-$H53))))*$F53),"")</f>
        <v/>
      </c>
      <c r="Y53" s="1296" t="str">
        <f>IFERROR((((VLOOKUP($B53&amp;"|"&amp;$E53,'Carbon factors'!$D$7:$H$379,5,0)) *(IF($H53="",1,(1-$H53))))*$F53),"")</f>
        <v/>
      </c>
    </row>
    <row r="54" spans="1:25" x14ac:dyDescent="0.35">
      <c r="A54" s="898"/>
      <c r="B54" s="853"/>
      <c r="C54" s="186"/>
      <c r="D54" s="186"/>
      <c r="E54" s="579"/>
      <c r="F54" s="577"/>
      <c r="G54" s="579" t="s">
        <v>473</v>
      </c>
      <c r="H54" s="1492"/>
      <c r="I54" s="179"/>
      <c r="J54" s="861"/>
      <c r="K54" s="186"/>
      <c r="L54" s="691" t="str" cm="1">
        <f t="array" ref="L54">IFERROR((_xlfn.IFS(K54=$AE$12,"3",K54=$AE$13,"2",K54=$AE$14,"2",K54=$AE$15,"1",K54=$AE$16,"1"))*F54,"")</f>
        <v/>
      </c>
      <c r="M54" s="168"/>
      <c r="N54" s="186"/>
      <c r="O54" s="183" t="str">
        <f>IFERROR(M54/VLOOKUP(N54,'$ Conversion'!$A$9:$B$40,2,0),"")</f>
        <v/>
      </c>
      <c r="P54" s="212"/>
      <c r="Q54" s="1163" t="str">
        <f>IFERROR(IF(J54&gt;0,J54,(VLOOKUP($B54&amp;"|"&amp;$E54,'Carbon factors'!$D$7:$E$379,2,0)*(IF(H54="",1,(1-H54))))),"")</f>
        <v/>
      </c>
      <c r="R54" s="501" t="str">
        <f t="shared" si="0"/>
        <v/>
      </c>
      <c r="S54" s="501" t="str">
        <f t="shared" si="1"/>
        <v/>
      </c>
      <c r="T54" s="165" t="str">
        <f t="shared" si="2"/>
        <v>Scope 1</v>
      </c>
      <c r="U54" s="805" t="str">
        <f t="shared" si="3"/>
        <v/>
      </c>
      <c r="W54" s="1297" t="str">
        <f>IFERROR((((VLOOKUP($B54&amp;"|"&amp;$E54,'Carbon factors'!$D$7:$H$379,3,0)) *(IF($H54="",1,(1-$H54))))*$F54),"")</f>
        <v/>
      </c>
      <c r="X54" s="183" t="str">
        <f>IFERROR((((VLOOKUP($B54&amp;"|"&amp;$E54,'Carbon factors'!$D$7:$H$379,4,0)) *(IF($H54="",1,(1-$H54))))*$F54),"")</f>
        <v/>
      </c>
      <c r="Y54" s="1296" t="str">
        <f>IFERROR((((VLOOKUP($B54&amp;"|"&amp;$E54,'Carbon factors'!$D$7:$H$379,5,0)) *(IF($H54="",1,(1-$H54))))*$F54),"")</f>
        <v/>
      </c>
    </row>
    <row r="55" spans="1:25" x14ac:dyDescent="0.35">
      <c r="A55" s="898"/>
      <c r="B55" s="853"/>
      <c r="C55" s="186"/>
      <c r="D55" s="186"/>
      <c r="E55" s="579"/>
      <c r="F55" s="577"/>
      <c r="G55" s="579" t="s">
        <v>473</v>
      </c>
      <c r="H55" s="1492"/>
      <c r="I55" s="179"/>
      <c r="J55" s="861"/>
      <c r="K55" s="186"/>
      <c r="L55" s="691" t="str" cm="1">
        <f t="array" ref="L55">IFERROR((_xlfn.IFS(K55=$AE$12,"3",K55=$AE$13,"2",K55=$AE$14,"2",K55=$AE$15,"1",K55=$AE$16,"1"))*F55,"")</f>
        <v/>
      </c>
      <c r="M55" s="168"/>
      <c r="N55" s="186"/>
      <c r="O55" s="183" t="str">
        <f>IFERROR(M55/VLOOKUP(N55,'$ Conversion'!$A$9:$B$40,2,0),"")</f>
        <v/>
      </c>
      <c r="P55" s="212"/>
      <c r="Q55" s="1163" t="str">
        <f>IFERROR(IF(J55&gt;0,J55,(VLOOKUP($B55&amp;"|"&amp;$E55,'Carbon factors'!$D$7:$E$379,2,0)*(IF(H55="",1,(1-H55))))),"")</f>
        <v/>
      </c>
      <c r="R55" s="501" t="str">
        <f t="shared" si="0"/>
        <v/>
      </c>
      <c r="S55" s="501" t="str">
        <f t="shared" si="1"/>
        <v/>
      </c>
      <c r="T55" s="165" t="str">
        <f t="shared" si="2"/>
        <v>Scope 1</v>
      </c>
      <c r="U55" s="805" t="str">
        <f t="shared" si="3"/>
        <v/>
      </c>
      <c r="W55" s="1297" t="str">
        <f>IFERROR((((VLOOKUP($B55&amp;"|"&amp;$E55,'Carbon factors'!$D$7:$H$379,3,0)) *(IF($H55="",1,(1-$H55))))*$F55),"")</f>
        <v/>
      </c>
      <c r="X55" s="183" t="str">
        <f>IFERROR((((VLOOKUP($B55&amp;"|"&amp;$E55,'Carbon factors'!$D$7:$H$379,4,0)) *(IF($H55="",1,(1-$H55))))*$F55),"")</f>
        <v/>
      </c>
      <c r="Y55" s="1296" t="str">
        <f>IFERROR((((VLOOKUP($B55&amp;"|"&amp;$E55,'Carbon factors'!$D$7:$H$379,5,0)) *(IF($H55="",1,(1-$H55))))*$F55),"")</f>
        <v/>
      </c>
    </row>
    <row r="56" spans="1:25" x14ac:dyDescent="0.35">
      <c r="A56" s="898"/>
      <c r="B56" s="853"/>
      <c r="C56" s="186"/>
      <c r="D56" s="186"/>
      <c r="E56" s="579"/>
      <c r="F56" s="577"/>
      <c r="G56" s="579" t="s">
        <v>473</v>
      </c>
      <c r="H56" s="1492"/>
      <c r="I56" s="179"/>
      <c r="J56" s="861"/>
      <c r="K56" s="186"/>
      <c r="L56" s="691" t="str" cm="1">
        <f t="array" ref="L56">IFERROR((_xlfn.IFS(K56=$AE$12,"3",K56=$AE$13,"2",K56=$AE$14,"2",K56=$AE$15,"1",K56=$AE$16,"1"))*F56,"")</f>
        <v/>
      </c>
      <c r="M56" s="168"/>
      <c r="N56" s="186"/>
      <c r="O56" s="183" t="str">
        <f>IFERROR(M56/VLOOKUP(N56,'$ Conversion'!$A$9:$B$40,2,0),"")</f>
        <v/>
      </c>
      <c r="P56" s="212"/>
      <c r="Q56" s="1163" t="str">
        <f>IFERROR(IF(J56&gt;0,J56,(VLOOKUP($B56&amp;"|"&amp;$E56,'Carbon factors'!$D$7:$E$379,2,0)*(IF(H56="",1,(1-H56))))),"")</f>
        <v/>
      </c>
      <c r="R56" s="501" t="str">
        <f t="shared" si="0"/>
        <v/>
      </c>
      <c r="S56" s="501" t="str">
        <f t="shared" si="1"/>
        <v/>
      </c>
      <c r="T56" s="165" t="str">
        <f t="shared" si="2"/>
        <v>Scope 1</v>
      </c>
      <c r="U56" s="805" t="str">
        <f t="shared" si="3"/>
        <v/>
      </c>
      <c r="W56" s="1297" t="str">
        <f>IFERROR((((VLOOKUP($B56&amp;"|"&amp;$E56,'Carbon factors'!$D$7:$H$379,3,0)) *(IF($H56="",1,(1-$H56))))*$F56),"")</f>
        <v/>
      </c>
      <c r="X56" s="183" t="str">
        <f>IFERROR((((VLOOKUP($B56&amp;"|"&amp;$E56,'Carbon factors'!$D$7:$H$379,4,0)) *(IF($H56="",1,(1-$H56))))*$F56),"")</f>
        <v/>
      </c>
      <c r="Y56" s="1296" t="str">
        <f>IFERROR((((VLOOKUP($B56&amp;"|"&amp;$E56,'Carbon factors'!$D$7:$H$379,5,0)) *(IF($H56="",1,(1-$H56))))*$F56),"")</f>
        <v/>
      </c>
    </row>
    <row r="57" spans="1:25" x14ac:dyDescent="0.35">
      <c r="A57" s="898"/>
      <c r="B57" s="853"/>
      <c r="C57" s="186"/>
      <c r="D57" s="186"/>
      <c r="E57" s="579"/>
      <c r="F57" s="577"/>
      <c r="G57" s="579" t="s">
        <v>473</v>
      </c>
      <c r="H57" s="1492"/>
      <c r="I57" s="179"/>
      <c r="J57" s="861"/>
      <c r="K57" s="186"/>
      <c r="L57" s="691" t="str" cm="1">
        <f t="array" ref="L57">IFERROR((_xlfn.IFS(K57=$AE$12,"3",K57=$AE$13,"2",K57=$AE$14,"2",K57=$AE$15,"1",K57=$AE$16,"1"))*F57,"")</f>
        <v/>
      </c>
      <c r="M57" s="168"/>
      <c r="N57" s="186"/>
      <c r="O57" s="183" t="str">
        <f>IFERROR(M57/VLOOKUP(N57,'$ Conversion'!$A$9:$B$40,2,0),"")</f>
        <v/>
      </c>
      <c r="P57" s="212"/>
      <c r="Q57" s="1163" t="str">
        <f>IFERROR(IF(J57&gt;0,J57,(VLOOKUP($B57&amp;"|"&amp;$E57,'Carbon factors'!$D$7:$E$379,2,0)*(IF(H57="",1,(1-H57))))),"")</f>
        <v/>
      </c>
      <c r="R57" s="501" t="str">
        <f t="shared" si="0"/>
        <v/>
      </c>
      <c r="S57" s="501" t="str">
        <f t="shared" si="1"/>
        <v/>
      </c>
      <c r="T57" s="165" t="str">
        <f t="shared" si="2"/>
        <v>Scope 1</v>
      </c>
      <c r="U57" s="805" t="str">
        <f t="shared" si="3"/>
        <v/>
      </c>
      <c r="W57" s="1297" t="str">
        <f>IFERROR((((VLOOKUP($B57&amp;"|"&amp;$E57,'Carbon factors'!$D$7:$H$379,3,0)) *(IF($H57="",1,(1-$H57))))*$F57),"")</f>
        <v/>
      </c>
      <c r="X57" s="183" t="str">
        <f>IFERROR((((VLOOKUP($B57&amp;"|"&amp;$E57,'Carbon factors'!$D$7:$H$379,4,0)) *(IF($H57="",1,(1-$H57))))*$F57),"")</f>
        <v/>
      </c>
      <c r="Y57" s="1296" t="str">
        <f>IFERROR((((VLOOKUP($B57&amp;"|"&amp;$E57,'Carbon factors'!$D$7:$H$379,5,0)) *(IF($H57="",1,(1-$H57))))*$F57),"")</f>
        <v/>
      </c>
    </row>
    <row r="58" spans="1:25" x14ac:dyDescent="0.35">
      <c r="A58" s="898"/>
      <c r="B58" s="853"/>
      <c r="C58" s="186"/>
      <c r="D58" s="186"/>
      <c r="E58" s="579"/>
      <c r="F58" s="577"/>
      <c r="G58" s="579" t="s">
        <v>473</v>
      </c>
      <c r="H58" s="1492"/>
      <c r="I58" s="179"/>
      <c r="J58" s="861"/>
      <c r="K58" s="186"/>
      <c r="L58" s="691" t="str" cm="1">
        <f t="array" ref="L58">IFERROR((_xlfn.IFS(K58=$AE$12,"3",K58=$AE$13,"2",K58=$AE$14,"2",K58=$AE$15,"1",K58=$AE$16,"1"))*F58,"")</f>
        <v/>
      </c>
      <c r="M58" s="168"/>
      <c r="N58" s="186"/>
      <c r="O58" s="183" t="str">
        <f>IFERROR(M58/VLOOKUP(N58,'$ Conversion'!$A$9:$B$40,2,0),"")</f>
        <v/>
      </c>
      <c r="P58" s="212"/>
      <c r="Q58" s="1163" t="str">
        <f>IFERROR(IF(J58&gt;0,J58,(VLOOKUP($B58&amp;"|"&amp;$E58,'Carbon factors'!$D$7:$E$379,2,0)*(IF(H58="",1,(1-H58))))),"")</f>
        <v/>
      </c>
      <c r="R58" s="501" t="str">
        <f t="shared" si="0"/>
        <v/>
      </c>
      <c r="S58" s="501" t="str">
        <f t="shared" si="1"/>
        <v/>
      </c>
      <c r="T58" s="165" t="str">
        <f t="shared" si="2"/>
        <v>Scope 1</v>
      </c>
      <c r="U58" s="805" t="str">
        <f t="shared" si="3"/>
        <v/>
      </c>
      <c r="W58" s="1297" t="str">
        <f>IFERROR((((VLOOKUP($B58&amp;"|"&amp;$E58,'Carbon factors'!$D$7:$H$379,3,0)) *(IF($H58="",1,(1-$H58))))*$F58),"")</f>
        <v/>
      </c>
      <c r="X58" s="183" t="str">
        <f>IFERROR((((VLOOKUP($B58&amp;"|"&amp;$E58,'Carbon factors'!$D$7:$H$379,4,0)) *(IF($H58="",1,(1-$H58))))*$F58),"")</f>
        <v/>
      </c>
      <c r="Y58" s="1296" t="str">
        <f>IFERROR((((VLOOKUP($B58&amp;"|"&amp;$E58,'Carbon factors'!$D$7:$H$379,5,0)) *(IF($H58="",1,(1-$H58))))*$F58),"")</f>
        <v/>
      </c>
    </row>
    <row r="59" spans="1:25" x14ac:dyDescent="0.35">
      <c r="A59" s="898"/>
      <c r="B59" s="853"/>
      <c r="C59" s="186"/>
      <c r="D59" s="186"/>
      <c r="E59" s="579"/>
      <c r="F59" s="577"/>
      <c r="G59" s="579" t="s">
        <v>473</v>
      </c>
      <c r="H59" s="1492"/>
      <c r="I59" s="179"/>
      <c r="J59" s="861"/>
      <c r="K59" s="186"/>
      <c r="L59" s="691" t="str" cm="1">
        <f t="array" ref="L59">IFERROR((_xlfn.IFS(K59=$AE$12,"3",K59=$AE$13,"2",K59=$AE$14,"2",K59=$AE$15,"1",K59=$AE$16,"1"))*F59,"")</f>
        <v/>
      </c>
      <c r="M59" s="168"/>
      <c r="N59" s="186"/>
      <c r="O59" s="183" t="str">
        <f>IFERROR(M59/VLOOKUP(N59,'$ Conversion'!$A$9:$B$40,2,0),"")</f>
        <v/>
      </c>
      <c r="P59" s="212"/>
      <c r="Q59" s="1163" t="str">
        <f>IFERROR(IF(J59&gt;0,J59,(VLOOKUP($B59&amp;"|"&amp;$E59,'Carbon factors'!$D$7:$E$379,2,0)*(IF(H59="",1,(1-H59))))),"")</f>
        <v/>
      </c>
      <c r="R59" s="501" t="str">
        <f t="shared" si="0"/>
        <v/>
      </c>
      <c r="S59" s="501" t="str">
        <f t="shared" si="1"/>
        <v/>
      </c>
      <c r="T59" s="165" t="str">
        <f t="shared" si="2"/>
        <v>Scope 1</v>
      </c>
      <c r="U59" s="805" t="str">
        <f t="shared" si="3"/>
        <v/>
      </c>
      <c r="W59" s="1297" t="str">
        <f>IFERROR((((VLOOKUP($B59&amp;"|"&amp;$E59,'Carbon factors'!$D$7:$H$379,3,0)) *(IF($H59="",1,(1-$H59))))*$F59),"")</f>
        <v/>
      </c>
      <c r="X59" s="183" t="str">
        <f>IFERROR((((VLOOKUP($B59&amp;"|"&amp;$E59,'Carbon factors'!$D$7:$H$379,4,0)) *(IF($H59="",1,(1-$H59))))*$F59),"")</f>
        <v/>
      </c>
      <c r="Y59" s="1296" t="str">
        <f>IFERROR((((VLOOKUP($B59&amp;"|"&amp;$E59,'Carbon factors'!$D$7:$H$379,5,0)) *(IF($H59="",1,(1-$H59))))*$F59),"")</f>
        <v/>
      </c>
    </row>
    <row r="60" spans="1:25" ht="15" thickBot="1" x14ac:dyDescent="0.4">
      <c r="A60" s="899"/>
      <c r="B60" s="1213"/>
      <c r="C60" s="188"/>
      <c r="D60" s="188"/>
      <c r="E60" s="580"/>
      <c r="F60" s="575"/>
      <c r="G60" s="579" t="s">
        <v>473</v>
      </c>
      <c r="H60" s="1493"/>
      <c r="I60" s="180"/>
      <c r="J60" s="862"/>
      <c r="K60" s="188"/>
      <c r="L60" s="692" t="str" cm="1">
        <f t="array" ref="L60">IFERROR((_xlfn.IFS(K60=$AE$12,"3",K60=$AE$13,"2",K60=$AE$14,"2",K60=$AE$15,"1",K60=$AE$16,"1"))*F60,"")</f>
        <v/>
      </c>
      <c r="M60" s="187"/>
      <c r="N60" s="188"/>
      <c r="O60" s="184" t="str">
        <f>IFERROR(M60/VLOOKUP(N60,'$ Conversion'!$A$9:$B$40,2,0),"")</f>
        <v/>
      </c>
      <c r="P60" s="213"/>
      <c r="Q60" s="1164" t="str">
        <f>IFERROR(IF(J60&gt;0,J60,(VLOOKUP($B60&amp;"|"&amp;$E60,'Carbon factors'!$D$7:$E$379,2,0)*(IF(H60="",1,(1-H60))))),"")</f>
        <v/>
      </c>
      <c r="R60" s="502" t="str">
        <f t="shared" si="0"/>
        <v/>
      </c>
      <c r="S60" s="502" t="str">
        <f t="shared" si="1"/>
        <v/>
      </c>
      <c r="T60" s="182" t="str">
        <f t="shared" si="2"/>
        <v>Scope 1</v>
      </c>
      <c r="U60" s="806" t="str">
        <f t="shared" si="3"/>
        <v/>
      </c>
      <c r="W60" s="1455" t="str">
        <f>IFERROR((((VLOOKUP($B60&amp;"|"&amp;$E60,'Carbon factors'!$D$7:$H$379,3,0)) *(IF($H60="",1,(1-$H60))))*$F60),"")</f>
        <v/>
      </c>
      <c r="X60" s="184" t="str">
        <f>IFERROR((((VLOOKUP($B60&amp;"|"&amp;$E60,'Carbon factors'!$D$7:$H$379,4,0)) *(IF($H60="",1,(1-$H60))))*$F60),"")</f>
        <v/>
      </c>
      <c r="Y60" s="1456" t="str">
        <f>IFERROR((((VLOOKUP($B60&amp;"|"&amp;$E60,'Carbon factors'!$D$7:$H$379,5,0)) *(IF($H60="",1,(1-$H60))))*$F60),"")</f>
        <v/>
      </c>
    </row>
  </sheetData>
  <sheetProtection algorithmName="SHA-512" hashValue="4LH2pz8gH/zPCnWX3qfczyn61jsq3lOV3xdjVdxoEankcGRJyQSYTEPNQs6DwWADglkhq+qUXvu1MLheFdb33g==" saltValue="2BRKVrtIhb7+Cn1m3XFj6A==" spinCount="100000" sheet="1" objects="1" scenarios="1"/>
  <protectedRanges>
    <protectedRange sqref="H13:H60" name="Range2_2_1"/>
    <protectedRange sqref="J2" name="Editable area 1"/>
    <protectedRange sqref="M13:N60 P13:P60 A13:F60 I13:K60" name="Range2_2"/>
  </protectedRanges>
  <mergeCells count="10">
    <mergeCell ref="AA10:AE10"/>
    <mergeCell ref="A1:B1"/>
    <mergeCell ref="A2:F2"/>
    <mergeCell ref="A3:F3"/>
    <mergeCell ref="A4:F4"/>
    <mergeCell ref="I6:L9"/>
    <mergeCell ref="D6:F8"/>
    <mergeCell ref="D9:F9"/>
    <mergeCell ref="C1:F1"/>
    <mergeCell ref="J2:U4"/>
  </mergeCells>
  <phoneticPr fontId="10" type="noConversion"/>
  <conditionalFormatting sqref="H13:H60">
    <cfRule type="expression" dxfId="61" priority="1">
      <formula>B13="Electricity (vehicle)"</formula>
    </cfRule>
  </conditionalFormatting>
  <conditionalFormatting sqref="I13:I60">
    <cfRule type="expression" dxfId="60" priority="3">
      <formula>B13="Electricity (vehicle)"</formula>
    </cfRule>
  </conditionalFormatting>
  <conditionalFormatting sqref="J13:J60">
    <cfRule type="expression" dxfId="59" priority="2">
      <formula>B13="Electricity (vehicle)"</formula>
    </cfRule>
  </conditionalFormatting>
  <conditionalFormatting sqref="Q13:Q60">
    <cfRule type="cellIs" dxfId="58" priority="5" operator="equal">
      <formula>"No factor, name fuel in notes"</formula>
    </cfRule>
    <cfRule type="cellIs" dxfId="57" priority="6" operator="equal">
      <formula>"No factor, use KWh"</formula>
    </cfRule>
    <cfRule type="cellIs" dxfId="56" priority="7" operator="equal">
      <formula>"No factor, use litres or gallons"</formula>
    </cfRule>
  </conditionalFormatting>
  <conditionalFormatting sqref="R13:S60">
    <cfRule type="colorScale" priority="4">
      <colorScale>
        <cfvo type="min"/>
        <cfvo type="percentile" val="50"/>
        <cfvo type="max"/>
        <color rgb="FF00B050"/>
        <color rgb="FFFFEB84"/>
        <color rgb="FFFF0000"/>
      </colorScale>
    </cfRule>
  </conditionalFormatting>
  <dataValidations count="10">
    <dataValidation type="list" allowBlank="1" showInputMessage="1" showErrorMessage="1" sqref="B13:B60" xr:uid="{C9A2ED59-A271-48FC-A2E8-A0A29D3DBCED}">
      <formula1>$AC$12:$AC$17</formula1>
    </dataValidation>
    <dataValidation type="list" allowBlank="1" showInputMessage="1" showErrorMessage="1" sqref="K13:K60" xr:uid="{2C01E355-9275-4C7D-B3EE-F1FB4DB3C1F9}">
      <formula1>$AE$12:$AE$16</formula1>
    </dataValidation>
    <dataValidation type="list" allowBlank="1" showInputMessage="1" showErrorMessage="1" sqref="E13:E60" xr:uid="{3180F83E-4914-4A67-8608-A845A57BC665}">
      <formula1>$AA$14:$AA$16</formula1>
    </dataValidation>
    <dataValidation type="list" allowBlank="1" showInputMessage="1" showErrorMessage="1" sqref="C13:C60" xr:uid="{1A463B9B-890A-4438-9D24-E88920BE27A5}">
      <formula1>$AD$12:$AD$28</formula1>
    </dataValidation>
    <dataValidation type="list" allowBlank="1" showInputMessage="1" showErrorMessage="1" sqref="I13:I60" xr:uid="{8A93BC34-73D5-4639-9D1E-D95A2DE94786}">
      <formula1>$AB$12:$AB$14</formula1>
    </dataValidation>
    <dataValidation type="list" allowBlank="1" showInputMessage="1" showErrorMessage="1" sqref="G13:G60" xr:uid="{9F895BE6-EDA6-47A5-9433-D9FA659B3786}">
      <formula1>$AB$12:$AB$13</formula1>
    </dataValidation>
    <dataValidation type="decimal" allowBlank="1" showInputMessage="1" showErrorMessage="1" errorTitle="Percentages only" error="Enter a number between 0 and 100 " promptTitle="Percentages only" sqref="H13:H60" xr:uid="{07E65E53-61D3-4367-A639-83B0BE8E258F}">
      <formula1>0</formula1>
      <formula2>100</formula2>
    </dataValidation>
    <dataValidation type="decimal" allowBlank="1" showInputMessage="1" showErrorMessage="1" errorTitle="Number only" error="Enter a number only" sqref="F13:F60" xr:uid="{DF8EFD82-7A64-4DF3-8A46-0F8FDA7C9232}">
      <formula1>0</formula1>
      <formula2>1000000000</formula2>
    </dataValidation>
    <dataValidation type="decimal" allowBlank="1" showInputMessage="1" showErrorMessage="1" errorTitle="Number only" error="Enter a number only" sqref="M13:M60" xr:uid="{C6B2782C-A482-4220-852D-8500560B590B}">
      <formula1>0</formula1>
      <formula2>10000000000</formula2>
    </dataValidation>
    <dataValidation type="decimal" allowBlank="1" showInputMessage="1" showErrorMessage="1" sqref="J13:J60" xr:uid="{69B32896-64A8-4872-833C-747677370EEF}">
      <formula1>0</formula1>
      <formula2>2</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F3230FC9-BE27-4E8D-9461-47385FEB2558}">
          <x14:formula1>
            <xm:f>'$ Conversion'!$A$9:$A$34</xm:f>
          </x14:formula1>
          <xm:sqref>N13:N60</xm:sqref>
        </x14:dataValidation>
        <x14:dataValidation type="list" allowBlank="1" showInputMessage="1" showErrorMessage="1" xr:uid="{2571BD15-DF2D-43C0-8AA9-FA8FF166624E}">
          <x14:formula1>
            <xm:f>Buildings!$B$9:$B$41</xm:f>
          </x14:formula1>
          <xm:sqref>A13:A60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21159-46F2-406E-B4B8-655BCF5E26DE}">
  <sheetPr codeName="Sheet8">
    <tabColor rgb="FF00B050"/>
  </sheetPr>
  <dimension ref="A1:V61"/>
  <sheetViews>
    <sheetView topLeftCell="A9" zoomScaleNormal="100" workbookViewId="0">
      <selection activeCell="B16" sqref="B16"/>
    </sheetView>
  </sheetViews>
  <sheetFormatPr defaultColWidth="17.26953125" defaultRowHeight="14.5" x14ac:dyDescent="0.35"/>
  <cols>
    <col min="1" max="1" width="31.81640625" customWidth="1"/>
    <col min="2" max="2" width="40.7265625" customWidth="1"/>
    <col min="3" max="3" width="30.7265625" customWidth="1"/>
    <col min="4" max="4" width="26.1796875" customWidth="1"/>
    <col min="5" max="5" width="27.7265625" customWidth="1"/>
    <col min="6" max="6" width="27.1796875" hidden="1" customWidth="1"/>
    <col min="7" max="7" width="18" customWidth="1"/>
    <col min="8" max="8" width="24.453125" customWidth="1"/>
    <col min="9" max="9" width="22.453125" bestFit="1" customWidth="1"/>
    <col min="10" max="10" width="24.81640625" style="658" customWidth="1"/>
    <col min="11" max="11" width="19.453125" customWidth="1"/>
    <col min="12" max="12" width="25.453125" customWidth="1"/>
    <col min="13" max="13" width="19.453125" style="668" customWidth="1"/>
    <col min="14" max="14" width="26.7265625" customWidth="1"/>
    <col min="15" max="15" width="13.453125" style="706" bestFit="1" customWidth="1"/>
    <col min="16" max="17" width="13.26953125" style="706" bestFit="1" customWidth="1"/>
    <col min="18" max="18" width="28.1796875" customWidth="1"/>
    <col min="19" max="19" width="32.1796875" style="7" hidden="1" customWidth="1"/>
    <col min="20" max="20" width="8" style="7" hidden="1" customWidth="1"/>
    <col min="21" max="21" width="50.54296875" style="7" hidden="1" customWidth="1"/>
    <col min="22" max="22" width="32.26953125" style="7" hidden="1" customWidth="1"/>
  </cols>
  <sheetData>
    <row r="1" spans="1:22" ht="15" thickBot="1" x14ac:dyDescent="0.4">
      <c r="A1" s="381" t="s">
        <v>694</v>
      </c>
    </row>
    <row r="2" spans="1:22" ht="37.5" customHeight="1" thickBot="1" x14ac:dyDescent="0.4">
      <c r="A2" s="1790" t="s">
        <v>415</v>
      </c>
      <c r="B2" s="1791"/>
    </row>
    <row r="3" spans="1:22" ht="33" customHeight="1" x14ac:dyDescent="0.35">
      <c r="A3" s="1815" t="s">
        <v>695</v>
      </c>
      <c r="B3" s="1816"/>
      <c r="C3" s="1816"/>
      <c r="D3" s="1816"/>
      <c r="E3" s="1817"/>
      <c r="F3" s="320"/>
      <c r="G3" s="4"/>
      <c r="H3" s="1765" t="s">
        <v>309</v>
      </c>
      <c r="I3" s="1768" t="s">
        <v>509</v>
      </c>
      <c r="J3" s="1769"/>
      <c r="K3" s="1769"/>
      <c r="L3" s="1769"/>
      <c r="M3" s="1770"/>
      <c r="N3" s="801"/>
    </row>
    <row r="4" spans="1:22" ht="24.75" customHeight="1" x14ac:dyDescent="0.35">
      <c r="A4" s="1818" t="s">
        <v>696</v>
      </c>
      <c r="B4" s="1819"/>
      <c r="C4" s="1819"/>
      <c r="D4" s="1819"/>
      <c r="E4" s="1820"/>
      <c r="F4" s="320"/>
      <c r="G4" s="4"/>
      <c r="H4" s="1766"/>
      <c r="I4" s="1771"/>
      <c r="J4" s="1772"/>
      <c r="K4" s="1772"/>
      <c r="L4" s="1772"/>
      <c r="M4" s="1773"/>
      <c r="N4" s="801"/>
    </row>
    <row r="5" spans="1:22" ht="39" customHeight="1" thickBot="1" x14ac:dyDescent="0.4">
      <c r="A5" s="1821" t="s">
        <v>697</v>
      </c>
      <c r="B5" s="1822"/>
      <c r="C5" s="1822"/>
      <c r="D5" s="1822"/>
      <c r="E5" s="1823"/>
      <c r="F5" s="320"/>
      <c r="G5" s="4"/>
      <c r="H5" s="1767"/>
      <c r="I5" s="1774"/>
      <c r="J5" s="1775"/>
      <c r="K5" s="1775"/>
      <c r="L5" s="1775"/>
      <c r="M5" s="1776"/>
      <c r="N5" s="801"/>
    </row>
    <row r="6" spans="1:22" ht="15" thickBot="1" x14ac:dyDescent="0.4"/>
    <row r="7" spans="1:22" ht="60.75" customHeight="1" x14ac:dyDescent="0.35">
      <c r="A7" s="463" t="s">
        <v>211</v>
      </c>
      <c r="B7" s="466">
        <f>SUMIF(M14:M61, "Scope 1",L14:L61)/1000</f>
        <v>0</v>
      </c>
      <c r="C7" s="461" t="s">
        <v>316</v>
      </c>
      <c r="D7" s="1697" t="s">
        <v>698</v>
      </c>
      <c r="E7" s="1699"/>
      <c r="F7" s="382"/>
      <c r="G7" s="382"/>
      <c r="H7" s="1688" t="s">
        <v>699</v>
      </c>
      <c r="I7" s="1690"/>
      <c r="J7" s="685" t="s">
        <v>700</v>
      </c>
      <c r="K7" s="1842" t="s">
        <v>701</v>
      </c>
      <c r="L7" s="1842"/>
      <c r="M7" s="1843"/>
      <c r="N7" s="394"/>
    </row>
    <row r="8" spans="1:22" ht="66" customHeight="1" thickBot="1" x14ac:dyDescent="0.4">
      <c r="A8" s="469" t="s">
        <v>206</v>
      </c>
      <c r="B8" s="467">
        <f>SUMIF(M14:M61, "Scope 3",L14:L61)/1000</f>
        <v>0</v>
      </c>
      <c r="C8" s="470" t="s">
        <v>316</v>
      </c>
      <c r="D8" s="1703"/>
      <c r="E8" s="1705"/>
      <c r="F8" s="382"/>
      <c r="G8" s="382"/>
      <c r="H8" s="1825"/>
      <c r="I8" s="1827"/>
      <c r="J8" s="686" t="s">
        <v>702</v>
      </c>
      <c r="K8" s="1840" t="s">
        <v>703</v>
      </c>
      <c r="L8" s="1840"/>
      <c r="M8" s="1841"/>
      <c r="N8" s="394"/>
    </row>
    <row r="9" spans="1:22" ht="42.75" customHeight="1" thickBot="1" x14ac:dyDescent="0.4">
      <c r="A9" s="1847" t="s">
        <v>516</v>
      </c>
      <c r="B9" s="1655">
        <f>IFERROR((SUM(I14:I61))/(SUM(G14:G61)*3),"")</f>
        <v>0.33333333333333331</v>
      </c>
      <c r="C9" s="1849" t="s">
        <v>517</v>
      </c>
      <c r="D9" s="1697" t="s">
        <v>704</v>
      </c>
      <c r="E9" s="1699"/>
      <c r="F9" s="382"/>
      <c r="G9" s="382"/>
      <c r="H9" s="1691"/>
      <c r="I9" s="1693"/>
      <c r="J9" s="687" t="s">
        <v>705</v>
      </c>
      <c r="K9" s="1852" t="s">
        <v>706</v>
      </c>
      <c r="L9" s="1852"/>
      <c r="M9" s="1853"/>
      <c r="N9" s="394"/>
      <c r="O9" s="1465" t="s">
        <v>644</v>
      </c>
      <c r="P9" s="1466" t="s">
        <v>645</v>
      </c>
      <c r="Q9" s="1467" t="s">
        <v>646</v>
      </c>
    </row>
    <row r="10" spans="1:22" ht="78.75" customHeight="1" thickBot="1" x14ac:dyDescent="0.4">
      <c r="A10" s="1848"/>
      <c r="B10" s="1656"/>
      <c r="C10" s="1850"/>
      <c r="D10" s="1703"/>
      <c r="E10" s="1705"/>
      <c r="F10" s="382"/>
      <c r="G10" s="417"/>
      <c r="H10" s="1851" t="s">
        <v>707</v>
      </c>
      <c r="I10" s="1851"/>
      <c r="J10" s="535"/>
      <c r="K10" s="536" t="s">
        <v>708</v>
      </c>
      <c r="L10" s="681">
        <f>J10*'Unit Conversions'!G53</f>
        <v>0</v>
      </c>
      <c r="M10" s="536" t="s">
        <v>709</v>
      </c>
      <c r="N10" s="808"/>
      <c r="O10" s="1444">
        <f>SUM(O14:O61)</f>
        <v>0</v>
      </c>
      <c r="P10" s="1445">
        <f>SUM(P14:P61)</f>
        <v>0</v>
      </c>
      <c r="Q10" s="1446">
        <f>SUM(Q14:Q61)</f>
        <v>0</v>
      </c>
    </row>
    <row r="11" spans="1:22" ht="15" thickBot="1" x14ac:dyDescent="0.4">
      <c r="J11" s="668"/>
      <c r="K11" s="4"/>
      <c r="S11" s="1844" t="s">
        <v>474</v>
      </c>
      <c r="T11" s="1845"/>
      <c r="U11" s="1845"/>
      <c r="V11" s="1846"/>
    </row>
    <row r="12" spans="1:22" s="4" customFormat="1" ht="75.75" customHeight="1" thickBot="1" x14ac:dyDescent="0.4">
      <c r="A12" s="171" t="s">
        <v>648</v>
      </c>
      <c r="B12" s="171" t="s">
        <v>658</v>
      </c>
      <c r="C12" s="171" t="s">
        <v>532</v>
      </c>
      <c r="D12" s="171" t="s">
        <v>710</v>
      </c>
      <c r="E12" s="171" t="s">
        <v>711</v>
      </c>
      <c r="F12" s="171" t="s">
        <v>652</v>
      </c>
      <c r="G12" s="171" t="s">
        <v>712</v>
      </c>
      <c r="H12" s="171" t="s">
        <v>535</v>
      </c>
      <c r="I12" s="669" t="s">
        <v>536</v>
      </c>
      <c r="J12" s="247" t="s">
        <v>619</v>
      </c>
      <c r="K12" s="233" t="s">
        <v>542</v>
      </c>
      <c r="L12" s="661" t="s">
        <v>543</v>
      </c>
      <c r="M12" s="234" t="s">
        <v>544</v>
      </c>
      <c r="N12" s="807"/>
      <c r="O12" s="1447" t="s">
        <v>178</v>
      </c>
      <c r="P12" s="1448" t="s">
        <v>179</v>
      </c>
      <c r="Q12" s="1449" t="s">
        <v>180</v>
      </c>
      <c r="S12" s="837" t="s">
        <v>471</v>
      </c>
      <c r="T12" s="838" t="s">
        <v>657</v>
      </c>
      <c r="U12" s="838" t="s">
        <v>658</v>
      </c>
      <c r="V12" s="839" t="s">
        <v>659</v>
      </c>
    </row>
    <row r="13" spans="1:22" ht="44" thickBot="1" x14ac:dyDescent="0.4">
      <c r="A13" s="190" t="s">
        <v>329</v>
      </c>
      <c r="B13" s="190" t="s">
        <v>329</v>
      </c>
      <c r="C13" s="190" t="s">
        <v>329</v>
      </c>
      <c r="D13" s="190" t="s">
        <v>471</v>
      </c>
      <c r="E13" s="190" t="s">
        <v>467</v>
      </c>
      <c r="F13" s="190" t="s">
        <v>660</v>
      </c>
      <c r="G13" s="193" t="s">
        <v>467</v>
      </c>
      <c r="H13" s="190" t="s">
        <v>329</v>
      </c>
      <c r="I13" s="665"/>
      <c r="J13" s="248" t="s">
        <v>663</v>
      </c>
      <c r="K13" s="189" t="s">
        <v>614</v>
      </c>
      <c r="L13" s="665" t="s">
        <v>560</v>
      </c>
      <c r="M13" s="194" t="s">
        <v>561</v>
      </c>
      <c r="N13" s="6"/>
      <c r="O13" s="1450" t="s">
        <v>202</v>
      </c>
      <c r="P13" s="1451" t="s">
        <v>202</v>
      </c>
      <c r="Q13" s="1452" t="s">
        <v>202</v>
      </c>
      <c r="S13" s="549" t="s">
        <v>473</v>
      </c>
      <c r="T13" s="282" t="s">
        <v>713</v>
      </c>
      <c r="U13" s="282" t="s">
        <v>714</v>
      </c>
      <c r="V13" s="550" t="s">
        <v>670</v>
      </c>
    </row>
    <row r="14" spans="1:22" x14ac:dyDescent="0.35">
      <c r="A14" s="897" t="s">
        <v>2593</v>
      </c>
      <c r="B14" s="578" t="s">
        <v>717</v>
      </c>
      <c r="C14" s="578" t="s">
        <v>713</v>
      </c>
      <c r="D14" s="578" t="s">
        <v>473</v>
      </c>
      <c r="E14" s="197">
        <v>4</v>
      </c>
      <c r="F14" s="578" t="s">
        <v>473</v>
      </c>
      <c r="G14" s="576">
        <v>1000</v>
      </c>
      <c r="H14" s="197" t="s">
        <v>677</v>
      </c>
      <c r="I14" s="500" cm="1">
        <f t="array" ref="I14">IFERROR((_xlfn.IFS(H14=$V$13,"2",H14=$V$14,"1",H14=$V$15,"1"))*G14,"")</f>
        <v>1000</v>
      </c>
      <c r="J14" s="209"/>
      <c r="K14" s="1123">
        <f>IFERROR(VLOOKUP($B14&amp;"|"&amp;C14,'Carbon factors'!$BY$7:$BZ$44,2,0),"")</f>
        <v>0.33276</v>
      </c>
      <c r="L14" s="690" t="str">
        <f>IFERROR(IF(D14="N",K14*G14, IF(D14="Y", "0", "")),"")</f>
        <v>0</v>
      </c>
      <c r="M14" s="205" t="str">
        <f>IF(F14="N","Scope 3","Scope 1")</f>
        <v>Scope 1</v>
      </c>
      <c r="O14" s="1453" t="str">
        <f>IF($D14="N",($G14*(VLOOKUP($B14&amp;"|"&amp;C14,'Carbon factors'!$BY$7:$CC$44,3,0))), IF($D14="Y", "0", ""))</f>
        <v>0</v>
      </c>
      <c r="P14" s="202" t="str">
        <f>IF($D14="N",($G14*(VLOOKUP($B14&amp;"|"&amp;$C14,'Carbon factors'!$BY$7:$CC$44,4,0))), IF($D14="Y", "0", ""))</f>
        <v>0</v>
      </c>
      <c r="Q14" s="1454" t="str">
        <f>IF($D14="N",($G14*(VLOOKUP($B14&amp;"|"&amp;$C14,'Carbon factors'!$BY$7:$CC$44,5,0))), IF($D14="Y", "0", ""))</f>
        <v>0</v>
      </c>
      <c r="S14" s="261" t="s">
        <v>480</v>
      </c>
      <c r="T14" s="159" t="s">
        <v>715</v>
      </c>
      <c r="U14" s="159" t="s">
        <v>716</v>
      </c>
      <c r="V14" s="524" t="s">
        <v>677</v>
      </c>
    </row>
    <row r="15" spans="1:22" x14ac:dyDescent="0.35">
      <c r="A15" s="898"/>
      <c r="B15" s="579"/>
      <c r="C15" s="579"/>
      <c r="D15" s="579"/>
      <c r="E15" s="186"/>
      <c r="F15" s="579" t="s">
        <v>473</v>
      </c>
      <c r="G15" s="577"/>
      <c r="H15" s="186"/>
      <c r="I15" s="501" t="str" cm="1">
        <f t="array" ref="I15">IFERROR((_xlfn.IFS(H15=$V$13,"2",H15=$V$14,"1",H15=$V$15,"1"))*G15,"")</f>
        <v/>
      </c>
      <c r="J15" s="212"/>
      <c r="K15" s="1124" t="str">
        <f>IFERROR(VLOOKUP($B15&amp;"|"&amp;C15,'Carbon factors'!$BY$7:$BZ$44,2,0),"")</f>
        <v/>
      </c>
      <c r="L15" s="691" t="str">
        <f t="shared" ref="L15:L61" si="0">IFERROR(IF(D15="N",K15*G15, IF(D15="Y", "0", "")),"")</f>
        <v/>
      </c>
      <c r="M15" s="181" t="str">
        <f t="shared" ref="M15:M61" si="1">IF(F15="N","Scope 3","Scope 1")</f>
        <v>Scope 1</v>
      </c>
      <c r="O15" s="1297" t="str">
        <f>IF($D15="N",($G15*(VLOOKUP($B15&amp;"|"&amp;C15,'Carbon factors'!$BY$7:$CC$44,3,0))), IF($D15="Y", "0", ""))</f>
        <v/>
      </c>
      <c r="P15" s="183" t="str">
        <f>IF($D15="N",($G15*(VLOOKUP($B15&amp;"|"&amp;$C15,'Carbon factors'!$BY$7:$CC$44,4,0))), IF($D15="Y", "0", ""))</f>
        <v/>
      </c>
      <c r="Q15" s="1296" t="str">
        <f>IF($D15="N",($G15*(VLOOKUP($B15&amp;"|"&amp;$C15,'Carbon factors'!$BY$7:$CC$44,5,0))), IF($D15="Y", "0", ""))</f>
        <v/>
      </c>
      <c r="S15" s="261" t="s">
        <v>617</v>
      </c>
      <c r="T15" s="159"/>
      <c r="U15" s="159" t="s">
        <v>717</v>
      </c>
      <c r="V15" s="524" t="s">
        <v>680</v>
      </c>
    </row>
    <row r="16" spans="1:22" x14ac:dyDescent="0.35">
      <c r="A16" s="898"/>
      <c r="B16" s="579"/>
      <c r="C16" s="579"/>
      <c r="D16" s="579"/>
      <c r="E16" s="186"/>
      <c r="F16" s="579" t="s">
        <v>473</v>
      </c>
      <c r="G16" s="577"/>
      <c r="H16" s="186"/>
      <c r="I16" s="501" t="str" cm="1">
        <f t="array" ref="I16">IFERROR((_xlfn.IFS(H16=$V$13,"2",H16=$V$14,"1",H16=$V$15,"1"))*G16,"")</f>
        <v/>
      </c>
      <c r="J16" s="212"/>
      <c r="K16" s="1124" t="str">
        <f>IFERROR(VLOOKUP($B16&amp;"|"&amp;C16,'Carbon factors'!$BY$7:$BZ$44,2,0),"")</f>
        <v/>
      </c>
      <c r="L16" s="691" t="str">
        <f t="shared" si="0"/>
        <v/>
      </c>
      <c r="M16" s="181" t="str">
        <f t="shared" si="1"/>
        <v>Scope 1</v>
      </c>
      <c r="O16" s="1297" t="str">
        <f>IF($D16="N",($G16*(VLOOKUP($B16&amp;"|"&amp;C16,'Carbon factors'!$BY$7:$CC$44,3,0))), IF($D16="Y", "0", ""))</f>
        <v/>
      </c>
      <c r="P16" s="183" t="str">
        <f>IF($D16="N",($G16*(VLOOKUP($B16&amp;"|"&amp;$C16,'Carbon factors'!$BY$7:$CC$44,4,0))), IF($D16="Y", "0", ""))</f>
        <v/>
      </c>
      <c r="Q16" s="1296" t="str">
        <f>IF($D16="N",($G16*(VLOOKUP($B16&amp;"|"&amp;$C16,'Carbon factors'!$BY$7:$CC$44,5,0))), IF($D16="Y", "0", ""))</f>
        <v/>
      </c>
      <c r="S16" s="263" t="s">
        <v>718</v>
      </c>
      <c r="T16" s="159"/>
      <c r="U16" s="159" t="s">
        <v>719</v>
      </c>
      <c r="V16" s="524"/>
    </row>
    <row r="17" spans="1:22" x14ac:dyDescent="0.35">
      <c r="A17" s="898"/>
      <c r="B17" s="579"/>
      <c r="C17" s="579"/>
      <c r="D17" s="579"/>
      <c r="E17" s="186"/>
      <c r="F17" s="579" t="s">
        <v>473</v>
      </c>
      <c r="G17" s="577"/>
      <c r="H17" s="186"/>
      <c r="I17" s="501" t="str" cm="1">
        <f t="array" ref="I17">IFERROR((_xlfn.IFS(H17=$V$13,"2",H17=$V$14,"1",H17=$V$15,"1"))*G17,"")</f>
        <v/>
      </c>
      <c r="J17" s="212"/>
      <c r="K17" s="1124" t="str">
        <f>IFERROR(VLOOKUP($B17&amp;"|"&amp;C17,'Carbon factors'!$BY$7:$BZ$44,2,0),"")</f>
        <v/>
      </c>
      <c r="L17" s="691" t="str">
        <f t="shared" si="0"/>
        <v/>
      </c>
      <c r="M17" s="181" t="str">
        <f t="shared" si="1"/>
        <v>Scope 1</v>
      </c>
      <c r="O17" s="1297" t="str">
        <f>IF($D17="N",($G17*(VLOOKUP($B17&amp;"|"&amp;C17,'Carbon factors'!$BY$7:$CC$44,3,0))), IF($D17="Y", "0", ""))</f>
        <v/>
      </c>
      <c r="P17" s="183" t="str">
        <f>IF($D17="N",($G17*(VLOOKUP($B17&amp;"|"&amp;$C17,'Carbon factors'!$BY$7:$CC$44,4,0))), IF($D17="Y", "0", ""))</f>
        <v/>
      </c>
      <c r="Q17" s="1296" t="str">
        <f>IF($D17="N",($G17*(VLOOKUP($B17&amp;"|"&amp;$C17,'Carbon factors'!$BY$7:$CC$44,5,0))), IF($D17="Y", "0", ""))</f>
        <v/>
      </c>
      <c r="S17" s="263"/>
      <c r="T17" s="159"/>
      <c r="U17" s="159" t="s">
        <v>720</v>
      </c>
      <c r="V17" s="524"/>
    </row>
    <row r="18" spans="1:22" x14ac:dyDescent="0.35">
      <c r="A18" s="898"/>
      <c r="B18" s="579"/>
      <c r="C18" s="579"/>
      <c r="D18" s="579"/>
      <c r="E18" s="186"/>
      <c r="F18" s="579" t="s">
        <v>473</v>
      </c>
      <c r="G18" s="577"/>
      <c r="H18" s="186"/>
      <c r="I18" s="501" t="str" cm="1">
        <f t="array" ref="I18">IFERROR((_xlfn.IFS(H18=$V$13,"2",H18=$V$14,"1",H18=$V$15,"1"))*G18,"")</f>
        <v/>
      </c>
      <c r="J18" s="212"/>
      <c r="K18" s="1124" t="str">
        <f>IFERROR(VLOOKUP($B18&amp;"|"&amp;C18,'Carbon factors'!$BY$7:$BZ$44,2,0),"")</f>
        <v/>
      </c>
      <c r="L18" s="691" t="str">
        <f t="shared" si="0"/>
        <v/>
      </c>
      <c r="M18" s="181" t="str">
        <f t="shared" si="1"/>
        <v>Scope 1</v>
      </c>
      <c r="O18" s="1297" t="str">
        <f>IF($D18="N",($G18*(VLOOKUP($B18&amp;"|"&amp;C18,'Carbon factors'!$BY$7:$CC$44,3,0))), IF($D18="Y", "0", ""))</f>
        <v/>
      </c>
      <c r="P18" s="183" t="str">
        <f>IF($D18="N",($G18*(VLOOKUP($B18&amp;"|"&amp;$C18,'Carbon factors'!$BY$7:$CC$44,4,0))), IF($D18="Y", "0", ""))</f>
        <v/>
      </c>
      <c r="Q18" s="1296" t="str">
        <f>IF($D18="N",($G18*(VLOOKUP($B18&amp;"|"&amp;$C18,'Carbon factors'!$BY$7:$CC$44,5,0))), IF($D18="Y", "0", ""))</f>
        <v/>
      </c>
      <c r="S18" s="261"/>
      <c r="T18" s="159"/>
      <c r="U18" s="159" t="s">
        <v>721</v>
      </c>
      <c r="V18" s="524"/>
    </row>
    <row r="19" spans="1:22" x14ac:dyDescent="0.35">
      <c r="A19" s="898"/>
      <c r="B19" s="579"/>
      <c r="C19" s="579"/>
      <c r="D19" s="579"/>
      <c r="E19" s="186"/>
      <c r="F19" s="579" t="s">
        <v>473</v>
      </c>
      <c r="G19" s="577"/>
      <c r="H19" s="186"/>
      <c r="I19" s="501" t="str" cm="1">
        <f t="array" ref="I19">IFERROR((_xlfn.IFS(H19=$V$13,"2",H19=$V$14,"1",H19=$V$15,"1"))*G19,"")</f>
        <v/>
      </c>
      <c r="J19" s="212"/>
      <c r="K19" s="1124" t="str">
        <f>IFERROR(VLOOKUP($B19&amp;"|"&amp;C19,'Carbon factors'!$BY$7:$BZ$44,2,0),"")</f>
        <v/>
      </c>
      <c r="L19" s="691" t="str">
        <f t="shared" si="0"/>
        <v/>
      </c>
      <c r="M19" s="181" t="str">
        <f t="shared" si="1"/>
        <v>Scope 1</v>
      </c>
      <c r="O19" s="1297" t="str">
        <f>IF($D19="N",($G19*(VLOOKUP($B19&amp;"|"&amp;C19,'Carbon factors'!$BY$7:$CC$44,3,0))), IF($D19="Y", "0", ""))</f>
        <v/>
      </c>
      <c r="P19" s="183" t="str">
        <f>IF($D19="N",($G19*(VLOOKUP($B19&amp;"|"&amp;$C19,'Carbon factors'!$BY$7:$CC$44,4,0))), IF($D19="Y", "0", ""))</f>
        <v/>
      </c>
      <c r="Q19" s="1296" t="str">
        <f>IF($D19="N",($G19*(VLOOKUP($B19&amp;"|"&amp;$C19,'Carbon factors'!$BY$7:$CC$44,5,0))), IF($D19="Y", "0", ""))</f>
        <v/>
      </c>
      <c r="S19" s="261"/>
      <c r="T19" s="159"/>
      <c r="U19" s="159" t="s">
        <v>722</v>
      </c>
      <c r="V19" s="524"/>
    </row>
    <row r="20" spans="1:22" x14ac:dyDescent="0.35">
      <c r="A20" s="898"/>
      <c r="B20" s="579"/>
      <c r="C20" s="579"/>
      <c r="D20" s="579"/>
      <c r="E20" s="186"/>
      <c r="F20" s="579" t="s">
        <v>473</v>
      </c>
      <c r="G20" s="577"/>
      <c r="H20" s="186"/>
      <c r="I20" s="501" t="str" cm="1">
        <f t="array" ref="I20">IFERROR((_xlfn.IFS(H20=$V$13,"2",H20=$V$14,"1",H20=$V$15,"1"))*G20,"")</f>
        <v/>
      </c>
      <c r="J20" s="212"/>
      <c r="K20" s="1124" t="str">
        <f>IFERROR(VLOOKUP($B20&amp;"|"&amp;C20,'Carbon factors'!$BY$7:$BZ$44,2,0),"")</f>
        <v/>
      </c>
      <c r="L20" s="691" t="str">
        <f t="shared" si="0"/>
        <v/>
      </c>
      <c r="M20" s="181" t="str">
        <f t="shared" si="1"/>
        <v>Scope 1</v>
      </c>
      <c r="O20" s="1297" t="str">
        <f>IF($D20="N",($G20*(VLOOKUP($B20&amp;"|"&amp;C20,'Carbon factors'!$BY$7:$CC$44,3,0))), IF($D20="Y", "0", ""))</f>
        <v/>
      </c>
      <c r="P20" s="183" t="str">
        <f>IF($D20="N",($G20*(VLOOKUP($B20&amp;"|"&amp;$C20,'Carbon factors'!$BY$7:$CC$44,4,0))), IF($D20="Y", "0", ""))</f>
        <v/>
      </c>
      <c r="Q20" s="1296" t="str">
        <f>IF($D20="N",($G20*(VLOOKUP($B20&amp;"|"&amp;$C20,'Carbon factors'!$BY$7:$CC$44,5,0))), IF($D20="Y", "0", ""))</f>
        <v/>
      </c>
      <c r="S20" s="261"/>
      <c r="T20" s="159"/>
      <c r="U20" s="159" t="s">
        <v>723</v>
      </c>
      <c r="V20" s="524"/>
    </row>
    <row r="21" spans="1:22" x14ac:dyDescent="0.35">
      <c r="A21" s="898"/>
      <c r="B21" s="579"/>
      <c r="C21" s="579"/>
      <c r="D21" s="579"/>
      <c r="E21" s="186"/>
      <c r="F21" s="579" t="s">
        <v>473</v>
      </c>
      <c r="G21" s="577"/>
      <c r="H21" s="186"/>
      <c r="I21" s="501" t="str" cm="1">
        <f t="array" ref="I21">IFERROR((_xlfn.IFS(H21=$V$13,"2",H21=$V$14,"1",H21=$V$15,"1"))*G21,"")</f>
        <v/>
      </c>
      <c r="J21" s="212"/>
      <c r="K21" s="1124" t="str">
        <f>IFERROR(VLOOKUP($B21&amp;"|"&amp;C21,'Carbon factors'!$BY$7:$BZ$44,2,0),"")</f>
        <v/>
      </c>
      <c r="L21" s="691" t="str">
        <f t="shared" si="0"/>
        <v/>
      </c>
      <c r="M21" s="181" t="str">
        <f t="shared" si="1"/>
        <v>Scope 1</v>
      </c>
      <c r="O21" s="1297" t="str">
        <f>IF($D21="N",($G21*(VLOOKUP($B21&amp;"|"&amp;C21,'Carbon factors'!$BY$7:$CC$44,3,0))), IF($D21="Y", "0", ""))</f>
        <v/>
      </c>
      <c r="P21" s="183" t="str">
        <f>IF($D21="N",($G21*(VLOOKUP($B21&amp;"|"&amp;$C21,'Carbon factors'!$BY$7:$CC$44,4,0))), IF($D21="Y", "0", ""))</f>
        <v/>
      </c>
      <c r="Q21" s="1296" t="str">
        <f>IF($D21="N",($G21*(VLOOKUP($B21&amp;"|"&amp;$C21,'Carbon factors'!$BY$7:$CC$44,5,0))), IF($D21="Y", "0", ""))</f>
        <v/>
      </c>
      <c r="S21" s="261"/>
      <c r="T21" s="159"/>
      <c r="U21" s="159" t="s">
        <v>724</v>
      </c>
      <c r="V21" s="524"/>
    </row>
    <row r="22" spans="1:22" x14ac:dyDescent="0.35">
      <c r="A22" s="898"/>
      <c r="B22" s="579"/>
      <c r="C22" s="579"/>
      <c r="D22" s="579"/>
      <c r="E22" s="186"/>
      <c r="F22" s="579" t="s">
        <v>473</v>
      </c>
      <c r="G22" s="577"/>
      <c r="H22" s="186"/>
      <c r="I22" s="501" t="str" cm="1">
        <f t="array" ref="I22">IFERROR((_xlfn.IFS(H22=$V$13,"2",H22=$V$14,"1",H22=$V$15,"1"))*G22,"")</f>
        <v/>
      </c>
      <c r="J22" s="212"/>
      <c r="K22" s="1124" t="str">
        <f>IFERROR(VLOOKUP($B22&amp;"|"&amp;C22,'Carbon factors'!$BY$7:$BZ$44,2,0),"")</f>
        <v/>
      </c>
      <c r="L22" s="691" t="str">
        <f t="shared" si="0"/>
        <v/>
      </c>
      <c r="M22" s="181" t="str">
        <f t="shared" si="1"/>
        <v>Scope 1</v>
      </c>
      <c r="O22" s="1297" t="str">
        <f>IF($D22="N",($G22*(VLOOKUP($B22&amp;"|"&amp;C22,'Carbon factors'!$BY$7:$CC$44,3,0))), IF($D22="Y", "0", ""))</f>
        <v/>
      </c>
      <c r="P22" s="183" t="str">
        <f>IF($D22="N",($G22*(VLOOKUP($B22&amp;"|"&amp;$C22,'Carbon factors'!$BY$7:$CC$44,4,0))), IF($D22="Y", "0", ""))</f>
        <v/>
      </c>
      <c r="Q22" s="1296" t="str">
        <f>IF($D22="N",($G22*(VLOOKUP($B22&amp;"|"&amp;$C22,'Carbon factors'!$BY$7:$CC$44,5,0))), IF($D22="Y", "0", ""))</f>
        <v/>
      </c>
      <c r="S22" s="261"/>
      <c r="T22" s="159"/>
      <c r="U22" s="396" t="s">
        <v>725</v>
      </c>
      <c r="V22" s="524"/>
    </row>
    <row r="23" spans="1:22" x14ac:dyDescent="0.35">
      <c r="A23" s="898"/>
      <c r="B23" s="579"/>
      <c r="C23" s="579"/>
      <c r="D23" s="579"/>
      <c r="E23" s="186"/>
      <c r="F23" s="579" t="s">
        <v>473</v>
      </c>
      <c r="G23" s="577"/>
      <c r="H23" s="186"/>
      <c r="I23" s="501" t="str" cm="1">
        <f t="array" ref="I23">IFERROR((_xlfn.IFS(H23=$V$13,"2",H23=$V$14,"1",H23=$V$15,"1"))*G23,"")</f>
        <v/>
      </c>
      <c r="J23" s="212"/>
      <c r="K23" s="1124" t="str">
        <f>IFERROR(VLOOKUP($B23&amp;"|"&amp;C23,'Carbon factors'!$BY$7:$BZ$44,2,0),"")</f>
        <v/>
      </c>
      <c r="L23" s="691" t="str">
        <f t="shared" si="0"/>
        <v/>
      </c>
      <c r="M23" s="181" t="str">
        <f t="shared" si="1"/>
        <v>Scope 1</v>
      </c>
      <c r="O23" s="1297" t="str">
        <f>IF($D23="N",($G23*(VLOOKUP($B23&amp;"|"&amp;C23,'Carbon factors'!$BY$7:$CC$44,3,0))), IF($D23="Y", "0", ""))</f>
        <v/>
      </c>
      <c r="P23" s="183" t="str">
        <f>IF($D23="N",($G23*(VLOOKUP($B23&amp;"|"&amp;$C23,'Carbon factors'!$BY$7:$CC$44,4,0))), IF($D23="Y", "0", ""))</f>
        <v/>
      </c>
      <c r="Q23" s="1296" t="str">
        <f>IF($D23="N",($G23*(VLOOKUP($B23&amp;"|"&amp;$C23,'Carbon factors'!$BY$7:$CC$44,5,0))), IF($D23="Y", "0", ""))</f>
        <v/>
      </c>
      <c r="S23" s="261"/>
      <c r="T23" s="159"/>
      <c r="U23" s="396" t="s">
        <v>726</v>
      </c>
      <c r="V23" s="524"/>
    </row>
    <row r="24" spans="1:22" x14ac:dyDescent="0.35">
      <c r="A24" s="898"/>
      <c r="B24" s="579"/>
      <c r="C24" s="579"/>
      <c r="D24" s="579"/>
      <c r="E24" s="186"/>
      <c r="F24" s="579" t="s">
        <v>473</v>
      </c>
      <c r="G24" s="577"/>
      <c r="H24" s="186"/>
      <c r="I24" s="501" t="str" cm="1">
        <f t="array" ref="I24">IFERROR((_xlfn.IFS(H24=$V$13,"2",H24=$V$14,"1",H24=$V$15,"1"))*G24,"")</f>
        <v/>
      </c>
      <c r="J24" s="212"/>
      <c r="K24" s="1124" t="str">
        <f>IFERROR(VLOOKUP($B24&amp;"|"&amp;C24,'Carbon factors'!$BY$7:$BZ$44,2,0),"")</f>
        <v/>
      </c>
      <c r="L24" s="691" t="str">
        <f t="shared" si="0"/>
        <v/>
      </c>
      <c r="M24" s="181" t="str">
        <f t="shared" si="1"/>
        <v>Scope 1</v>
      </c>
      <c r="O24" s="1297" t="str">
        <f>IF($D24="N",($G24*(VLOOKUP($B24&amp;"|"&amp;C24,'Carbon factors'!$BY$7:$CC$44,3,0))), IF($D24="Y", "0", ""))</f>
        <v/>
      </c>
      <c r="P24" s="183" t="str">
        <f>IF($D24="N",($G24*(VLOOKUP($B24&amp;"|"&amp;$C24,'Carbon factors'!$BY$7:$CC$44,4,0))), IF($D24="Y", "0", ""))</f>
        <v/>
      </c>
      <c r="Q24" s="1296" t="str">
        <f>IF($D24="N",($G24*(VLOOKUP($B24&amp;"|"&amp;$C24,'Carbon factors'!$BY$7:$CC$44,5,0))), IF($D24="Y", "0", ""))</f>
        <v/>
      </c>
      <c r="S24" s="261"/>
      <c r="T24" s="159"/>
      <c r="U24" s="396" t="s">
        <v>727</v>
      </c>
      <c r="V24" s="524"/>
    </row>
    <row r="25" spans="1:22" x14ac:dyDescent="0.35">
      <c r="A25" s="898"/>
      <c r="B25" s="579"/>
      <c r="C25" s="579"/>
      <c r="D25" s="579"/>
      <c r="E25" s="186"/>
      <c r="F25" s="579" t="s">
        <v>473</v>
      </c>
      <c r="G25" s="577"/>
      <c r="H25" s="186"/>
      <c r="I25" s="501" t="str" cm="1">
        <f t="array" ref="I25">IFERROR((_xlfn.IFS(H25=$V$13,"2",H25=$V$14,"1",H25=$V$15,"1"))*G25,"")</f>
        <v/>
      </c>
      <c r="J25" s="212"/>
      <c r="K25" s="1124" t="str">
        <f>IFERROR(VLOOKUP($B25&amp;"|"&amp;C25,'Carbon factors'!$BY$7:$BZ$44,2,0),"")</f>
        <v/>
      </c>
      <c r="L25" s="691" t="str">
        <f t="shared" si="0"/>
        <v/>
      </c>
      <c r="M25" s="181" t="str">
        <f t="shared" si="1"/>
        <v>Scope 1</v>
      </c>
      <c r="O25" s="1297" t="str">
        <f>IF($D25="N",($G25*(VLOOKUP($B25&amp;"|"&amp;C25,'Carbon factors'!$BY$7:$CC$44,3,0))), IF($D25="Y", "0", ""))</f>
        <v/>
      </c>
      <c r="P25" s="183" t="str">
        <f>IF($D25="N",($G25*(VLOOKUP($B25&amp;"|"&amp;$C25,'Carbon factors'!$BY$7:$CC$44,4,0))), IF($D25="Y", "0", ""))</f>
        <v/>
      </c>
      <c r="Q25" s="1296" t="str">
        <f>IF($D25="N",($G25*(VLOOKUP($B25&amp;"|"&amp;$C25,'Carbon factors'!$BY$7:$CC$44,5,0))), IF($D25="Y", "0", ""))</f>
        <v/>
      </c>
      <c r="S25" s="261"/>
      <c r="T25" s="159"/>
      <c r="U25" s="396" t="s">
        <v>728</v>
      </c>
      <c r="V25" s="524"/>
    </row>
    <row r="26" spans="1:22" x14ac:dyDescent="0.35">
      <c r="A26" s="898"/>
      <c r="B26" s="579"/>
      <c r="C26" s="579"/>
      <c r="D26" s="579"/>
      <c r="E26" s="186"/>
      <c r="F26" s="579" t="s">
        <v>473</v>
      </c>
      <c r="G26" s="577"/>
      <c r="H26" s="186"/>
      <c r="I26" s="501" t="str" cm="1">
        <f t="array" ref="I26">IFERROR((_xlfn.IFS(H26=$V$13,"2",H26=$V$14,"1",H26=$V$15,"1"))*G26,"")</f>
        <v/>
      </c>
      <c r="J26" s="212"/>
      <c r="K26" s="1124" t="str">
        <f>IFERROR(VLOOKUP($B26&amp;"|"&amp;C26,'Carbon factors'!$BY$7:$BZ$44,2,0),"")</f>
        <v/>
      </c>
      <c r="L26" s="691" t="str">
        <f t="shared" si="0"/>
        <v/>
      </c>
      <c r="M26" s="181" t="str">
        <f t="shared" si="1"/>
        <v>Scope 1</v>
      </c>
      <c r="O26" s="1297" t="str">
        <f>IF($D26="N",($G26*(VLOOKUP($B26&amp;"|"&amp;C26,'Carbon factors'!$BY$7:$CC$44,3,0))), IF($D26="Y", "0", ""))</f>
        <v/>
      </c>
      <c r="P26" s="183" t="str">
        <f>IF($D26="N",($G26*(VLOOKUP($B26&amp;"|"&amp;$C26,'Carbon factors'!$BY$7:$CC$44,4,0))), IF($D26="Y", "0", ""))</f>
        <v/>
      </c>
      <c r="Q26" s="1296" t="str">
        <f>IF($D26="N",($G26*(VLOOKUP($B26&amp;"|"&amp;$C26,'Carbon factors'!$BY$7:$CC$44,5,0))), IF($D26="Y", "0", ""))</f>
        <v/>
      </c>
      <c r="S26" s="261"/>
      <c r="T26" s="159"/>
      <c r="U26" s="159" t="s">
        <v>729</v>
      </c>
      <c r="V26" s="524"/>
    </row>
    <row r="27" spans="1:22" x14ac:dyDescent="0.35">
      <c r="A27" s="898"/>
      <c r="B27" s="579"/>
      <c r="C27" s="579"/>
      <c r="D27" s="579"/>
      <c r="E27" s="186"/>
      <c r="F27" s="579" t="s">
        <v>473</v>
      </c>
      <c r="G27" s="577"/>
      <c r="H27" s="186"/>
      <c r="I27" s="501" t="str" cm="1">
        <f t="array" ref="I27">IFERROR((_xlfn.IFS(H27=$V$13,"2",H27=$V$14,"1",H27=$V$15,"1"))*G27,"")</f>
        <v/>
      </c>
      <c r="J27" s="212"/>
      <c r="K27" s="1124" t="str">
        <f>IFERROR(VLOOKUP($B27&amp;"|"&amp;C27,'Carbon factors'!$BY$7:$BZ$44,2,0),"")</f>
        <v/>
      </c>
      <c r="L27" s="691" t="str">
        <f t="shared" si="0"/>
        <v/>
      </c>
      <c r="M27" s="181" t="str">
        <f t="shared" si="1"/>
        <v>Scope 1</v>
      </c>
      <c r="O27" s="1297" t="str">
        <f>IF($D27="N",($G27*(VLOOKUP($B27&amp;"|"&amp;C27,'Carbon factors'!$BY$7:$CC$44,3,0))), IF($D27="Y", "0", ""))</f>
        <v/>
      </c>
      <c r="P27" s="183" t="str">
        <f>IF($D27="N",($G27*(VLOOKUP($B27&amp;"|"&amp;$C27,'Carbon factors'!$BY$7:$CC$44,4,0))), IF($D27="Y", "0", ""))</f>
        <v/>
      </c>
      <c r="Q27" s="1296" t="str">
        <f>IF($D27="N",($G27*(VLOOKUP($B27&amp;"|"&amp;$C27,'Carbon factors'!$BY$7:$CC$44,5,0))), IF($D27="Y", "0", ""))</f>
        <v/>
      </c>
      <c r="S27" s="261"/>
      <c r="T27" s="159"/>
      <c r="U27" s="159" t="s">
        <v>730</v>
      </c>
      <c r="V27" s="524"/>
    </row>
    <row r="28" spans="1:22" x14ac:dyDescent="0.35">
      <c r="A28" s="898"/>
      <c r="B28" s="579"/>
      <c r="C28" s="579"/>
      <c r="D28" s="579"/>
      <c r="E28" s="186"/>
      <c r="F28" s="579" t="s">
        <v>473</v>
      </c>
      <c r="G28" s="577"/>
      <c r="H28" s="186"/>
      <c r="I28" s="501" t="str" cm="1">
        <f t="array" ref="I28">IFERROR((_xlfn.IFS(H28=$V$13,"2",H28=$V$14,"1",H28=$V$15,"1"))*G28,"")</f>
        <v/>
      </c>
      <c r="J28" s="212"/>
      <c r="K28" s="1124" t="str">
        <f>IFERROR(VLOOKUP($B28&amp;"|"&amp;C28,'Carbon factors'!$BY$7:$BZ$44,2,0),"")</f>
        <v/>
      </c>
      <c r="L28" s="691" t="str">
        <f t="shared" si="0"/>
        <v/>
      </c>
      <c r="M28" s="181" t="str">
        <f t="shared" si="1"/>
        <v>Scope 1</v>
      </c>
      <c r="O28" s="1297" t="str">
        <f>IF($D28="N",($G28*(VLOOKUP($B28&amp;"|"&amp;C28,'Carbon factors'!$BY$7:$CC$44,3,0))), IF($D28="Y", "0", ""))</f>
        <v/>
      </c>
      <c r="P28" s="183" t="str">
        <f>IF($D28="N",($G28*(VLOOKUP($B28&amp;"|"&amp;$C28,'Carbon factors'!$BY$7:$CC$44,4,0))), IF($D28="Y", "0", ""))</f>
        <v/>
      </c>
      <c r="Q28" s="1296" t="str">
        <f>IF($D28="N",($G28*(VLOOKUP($B28&amp;"|"&amp;$C28,'Carbon factors'!$BY$7:$CC$44,5,0))), IF($D28="Y", "0", ""))</f>
        <v/>
      </c>
      <c r="S28" s="261"/>
      <c r="T28" s="159"/>
      <c r="U28" s="159" t="s">
        <v>731</v>
      </c>
      <c r="V28" s="524"/>
    </row>
    <row r="29" spans="1:22" x14ac:dyDescent="0.35">
      <c r="A29" s="898"/>
      <c r="B29" s="579"/>
      <c r="C29" s="579"/>
      <c r="D29" s="579"/>
      <c r="E29" s="186"/>
      <c r="F29" s="579" t="s">
        <v>473</v>
      </c>
      <c r="G29" s="577"/>
      <c r="H29" s="186"/>
      <c r="I29" s="501" t="str" cm="1">
        <f t="array" ref="I29">IFERROR((_xlfn.IFS(H29=$V$13,"2",H29=$V$14,"1",H29=$V$15,"1"))*G29,"")</f>
        <v/>
      </c>
      <c r="J29" s="212"/>
      <c r="K29" s="1124" t="str">
        <f>IFERROR(VLOOKUP($B29&amp;"|"&amp;C29,'Carbon factors'!$BY$7:$BZ$44,2,0),"")</f>
        <v/>
      </c>
      <c r="L29" s="691" t="str">
        <f t="shared" si="0"/>
        <v/>
      </c>
      <c r="M29" s="181" t="str">
        <f t="shared" si="1"/>
        <v>Scope 1</v>
      </c>
      <c r="O29" s="1297" t="str">
        <f>IF($D29="N",($G29*(VLOOKUP($B29&amp;"|"&amp;C29,'Carbon factors'!$BY$7:$CC$44,3,0))), IF($D29="Y", "0", ""))</f>
        <v/>
      </c>
      <c r="P29" s="183" t="str">
        <f>IF($D29="N",($G29*(VLOOKUP($B29&amp;"|"&amp;$C29,'Carbon factors'!$BY$7:$CC$44,4,0))), IF($D29="Y", "0", ""))</f>
        <v/>
      </c>
      <c r="Q29" s="1296" t="str">
        <f>IF($D29="N",($G29*(VLOOKUP($B29&amp;"|"&amp;$C29,'Carbon factors'!$BY$7:$CC$44,5,0))), IF($D29="Y", "0", ""))</f>
        <v/>
      </c>
      <c r="S29" s="261"/>
      <c r="T29" s="159"/>
      <c r="U29" s="159" t="s">
        <v>732</v>
      </c>
      <c r="V29" s="524"/>
    </row>
    <row r="30" spans="1:22" x14ac:dyDescent="0.35">
      <c r="A30" s="898"/>
      <c r="B30" s="579"/>
      <c r="C30" s="579"/>
      <c r="D30" s="579"/>
      <c r="E30" s="186"/>
      <c r="F30" s="579" t="s">
        <v>473</v>
      </c>
      <c r="G30" s="577"/>
      <c r="H30" s="186"/>
      <c r="I30" s="501" t="str" cm="1">
        <f t="array" ref="I30">IFERROR((_xlfn.IFS(H30=$V$13,"2",H30=$V$14,"1",H30=$V$15,"1"))*G30,"")</f>
        <v/>
      </c>
      <c r="J30" s="212"/>
      <c r="K30" s="1124" t="str">
        <f>IFERROR(VLOOKUP($B30&amp;"|"&amp;C30,'Carbon factors'!$BY$7:$BZ$44,2,0),"")</f>
        <v/>
      </c>
      <c r="L30" s="691" t="str">
        <f t="shared" si="0"/>
        <v/>
      </c>
      <c r="M30" s="181" t="str">
        <f t="shared" si="1"/>
        <v>Scope 1</v>
      </c>
      <c r="O30" s="1297" t="str">
        <f>IF($D30="N",($G30*(VLOOKUP($B30&amp;"|"&amp;C30,'Carbon factors'!$BY$7:$CC$44,3,0))), IF($D30="Y", "0", ""))</f>
        <v/>
      </c>
      <c r="P30" s="183" t="str">
        <f>IF($D30="N",($G30*(VLOOKUP($B30&amp;"|"&amp;$C30,'Carbon factors'!$BY$7:$CC$44,4,0))), IF($D30="Y", "0", ""))</f>
        <v/>
      </c>
      <c r="Q30" s="1296" t="str">
        <f>IF($D30="N",($G30*(VLOOKUP($B30&amp;"|"&amp;$C30,'Carbon factors'!$BY$7:$CC$44,5,0))), IF($D30="Y", "0", ""))</f>
        <v/>
      </c>
      <c r="S30" s="261"/>
      <c r="T30" s="159"/>
      <c r="U30" s="159" t="s">
        <v>733</v>
      </c>
      <c r="V30" s="524"/>
    </row>
    <row r="31" spans="1:22" x14ac:dyDescent="0.35">
      <c r="A31" s="898"/>
      <c r="B31" s="579"/>
      <c r="C31" s="579"/>
      <c r="D31" s="579"/>
      <c r="E31" s="186"/>
      <c r="F31" s="579" t="s">
        <v>473</v>
      </c>
      <c r="G31" s="577"/>
      <c r="H31" s="186"/>
      <c r="I31" s="501" t="str" cm="1">
        <f t="array" ref="I31">IFERROR((_xlfn.IFS(H31=$V$13,"2",H31=$V$14,"1",H31=$V$15,"1"))*G31,"")</f>
        <v/>
      </c>
      <c r="J31" s="212"/>
      <c r="K31" s="1124" t="str">
        <f>IFERROR(VLOOKUP($B31&amp;"|"&amp;C31,'Carbon factors'!$BY$7:$BZ$44,2,0),"")</f>
        <v/>
      </c>
      <c r="L31" s="691" t="str">
        <f t="shared" si="0"/>
        <v/>
      </c>
      <c r="M31" s="181" t="str">
        <f t="shared" si="1"/>
        <v>Scope 1</v>
      </c>
      <c r="O31" s="1297" t="str">
        <f>IF($D31="N",($G31*(VLOOKUP($B31&amp;"|"&amp;C31,'Carbon factors'!$BY$7:$CC$44,3,0))), IF($D31="Y", "0", ""))</f>
        <v/>
      </c>
      <c r="P31" s="183" t="str">
        <f>IF($D31="N",($G31*(VLOOKUP($B31&amp;"|"&amp;$C31,'Carbon factors'!$BY$7:$CC$44,4,0))), IF($D31="Y", "0", ""))</f>
        <v/>
      </c>
      <c r="Q31" s="1296" t="str">
        <f>IF($D31="N",($G31*(VLOOKUP($B31&amp;"|"&amp;$C31,'Carbon factors'!$BY$7:$CC$44,5,0))), IF($D31="Y", "0", ""))</f>
        <v/>
      </c>
      <c r="S31" s="261"/>
      <c r="T31" s="159"/>
      <c r="U31" s="159" t="s">
        <v>734</v>
      </c>
      <c r="V31" s="524"/>
    </row>
    <row r="32" spans="1:22" x14ac:dyDescent="0.35">
      <c r="A32" s="898"/>
      <c r="B32" s="579"/>
      <c r="C32" s="579"/>
      <c r="D32" s="579"/>
      <c r="E32" s="186"/>
      <c r="F32" s="579" t="s">
        <v>473</v>
      </c>
      <c r="G32" s="577"/>
      <c r="H32" s="186"/>
      <c r="I32" s="501" t="str" cm="1">
        <f t="array" ref="I32">IFERROR((_xlfn.IFS(H32=$V$13,"2",H32=$V$14,"1",H32=$V$15,"1"))*G32,"")</f>
        <v/>
      </c>
      <c r="J32" s="212"/>
      <c r="K32" s="1124" t="str">
        <f>IFERROR(VLOOKUP($B32&amp;"|"&amp;C32,'Carbon factors'!$BY$7:$BZ$44,2,0),"")</f>
        <v/>
      </c>
      <c r="L32" s="691" t="str">
        <f t="shared" si="0"/>
        <v/>
      </c>
      <c r="M32" s="181" t="str">
        <f t="shared" si="1"/>
        <v>Scope 1</v>
      </c>
      <c r="O32" s="1297" t="str">
        <f>IF($D32="N",($G32*(VLOOKUP($B32&amp;"|"&amp;C32,'Carbon factors'!$BY$7:$CC$44,3,0))), IF($D32="Y", "0", ""))</f>
        <v/>
      </c>
      <c r="P32" s="183" t="str">
        <f>IF($D32="N",($G32*(VLOOKUP($B32&amp;"|"&amp;$C32,'Carbon factors'!$BY$7:$CC$44,4,0))), IF($D32="Y", "0", ""))</f>
        <v/>
      </c>
      <c r="Q32" s="1296" t="str">
        <f>IF($D32="N",($G32*(VLOOKUP($B32&amp;"|"&amp;$C32,'Carbon factors'!$BY$7:$CC$44,5,0))), IF($D32="Y", "0", ""))</f>
        <v/>
      </c>
      <c r="S32" s="261"/>
      <c r="T32" s="159"/>
      <c r="U32" s="159"/>
      <c r="V32" s="524"/>
    </row>
    <row r="33" spans="1:22" x14ac:dyDescent="0.35">
      <c r="A33" s="898"/>
      <c r="B33" s="579"/>
      <c r="C33" s="579"/>
      <c r="D33" s="579"/>
      <c r="E33" s="186"/>
      <c r="F33" s="579" t="s">
        <v>473</v>
      </c>
      <c r="G33" s="577"/>
      <c r="H33" s="186"/>
      <c r="I33" s="501" t="str" cm="1">
        <f t="array" ref="I33">IFERROR((_xlfn.IFS(H33=$V$13,"2",H33=$V$14,"1",H33=$V$15,"1"))*G33,"")</f>
        <v/>
      </c>
      <c r="J33" s="212"/>
      <c r="K33" s="1124" t="str">
        <f>IFERROR(VLOOKUP($B33&amp;"|"&amp;C33,'Carbon factors'!$BY$7:$BZ$44,2,0),"")</f>
        <v/>
      </c>
      <c r="L33" s="691" t="str">
        <f t="shared" si="0"/>
        <v/>
      </c>
      <c r="M33" s="181" t="str">
        <f t="shared" si="1"/>
        <v>Scope 1</v>
      </c>
      <c r="O33" s="1297" t="str">
        <f>IF($D33="N",($G33*(VLOOKUP($B33&amp;"|"&amp;C33,'Carbon factors'!$BY$7:$CC$44,3,0))), IF($D33="Y", "0", ""))</f>
        <v/>
      </c>
      <c r="P33" s="183" t="str">
        <f>IF($D33="N",($G33*(VLOOKUP($B33&amp;"|"&amp;$C33,'Carbon factors'!$BY$7:$CC$44,4,0))), IF($D33="Y", "0", ""))</f>
        <v/>
      </c>
      <c r="Q33" s="1296" t="str">
        <f>IF($D33="N",($G33*(VLOOKUP($B33&amp;"|"&amp;$C33,'Carbon factors'!$BY$7:$CC$44,5,0))), IF($D33="Y", "0", ""))</f>
        <v/>
      </c>
      <c r="S33" s="261"/>
      <c r="T33" s="159"/>
      <c r="U33" s="159"/>
      <c r="V33" s="524"/>
    </row>
    <row r="34" spans="1:22" x14ac:dyDescent="0.35">
      <c r="A34" s="898"/>
      <c r="B34" s="579"/>
      <c r="C34" s="579"/>
      <c r="D34" s="579"/>
      <c r="E34" s="186"/>
      <c r="F34" s="579" t="s">
        <v>473</v>
      </c>
      <c r="G34" s="577"/>
      <c r="H34" s="186"/>
      <c r="I34" s="501" t="str" cm="1">
        <f t="array" ref="I34">IFERROR((_xlfn.IFS(H34=$V$13,"2",H34=$V$14,"1",H34=$V$15,"1"))*G34,"")</f>
        <v/>
      </c>
      <c r="J34" s="212"/>
      <c r="K34" s="1124" t="str">
        <f>IFERROR(VLOOKUP($B34&amp;"|"&amp;C34,'Carbon factors'!$BY$7:$BZ$44,2,0),"")</f>
        <v/>
      </c>
      <c r="L34" s="691" t="str">
        <f t="shared" si="0"/>
        <v/>
      </c>
      <c r="M34" s="181" t="str">
        <f t="shared" si="1"/>
        <v>Scope 1</v>
      </c>
      <c r="O34" s="1297" t="str">
        <f>IF($D34="N",($G34*(VLOOKUP($B34&amp;"|"&amp;C34,'Carbon factors'!$BY$7:$CC$44,3,0))), IF($D34="Y", "0", ""))</f>
        <v/>
      </c>
      <c r="P34" s="183" t="str">
        <f>IF($D34="N",($G34*(VLOOKUP($B34&amp;"|"&amp;$C34,'Carbon factors'!$BY$7:$CC$44,4,0))), IF($D34="Y", "0", ""))</f>
        <v/>
      </c>
      <c r="Q34" s="1296" t="str">
        <f>IF($D34="N",($G34*(VLOOKUP($B34&amp;"|"&amp;$C34,'Carbon factors'!$BY$7:$CC$44,5,0))), IF($D34="Y", "0", ""))</f>
        <v/>
      </c>
      <c r="S34" s="261"/>
      <c r="T34" s="159"/>
      <c r="U34" s="159"/>
      <c r="V34" s="524"/>
    </row>
    <row r="35" spans="1:22" x14ac:dyDescent="0.35">
      <c r="A35" s="898"/>
      <c r="B35" s="579"/>
      <c r="C35" s="579"/>
      <c r="D35" s="579"/>
      <c r="E35" s="186"/>
      <c r="F35" s="579" t="s">
        <v>473</v>
      </c>
      <c r="G35" s="577"/>
      <c r="H35" s="186"/>
      <c r="I35" s="501" t="str" cm="1">
        <f t="array" ref="I35">IFERROR((_xlfn.IFS(H35=$V$13,"2",H35=$V$14,"1",H35=$V$15,"1"))*G35,"")</f>
        <v/>
      </c>
      <c r="J35" s="212"/>
      <c r="K35" s="1124" t="str">
        <f>IFERROR(VLOOKUP($B35&amp;"|"&amp;C35,'Carbon factors'!$BY$7:$BZ$44,2,0),"")</f>
        <v/>
      </c>
      <c r="L35" s="691" t="str">
        <f t="shared" si="0"/>
        <v/>
      </c>
      <c r="M35" s="181" t="str">
        <f t="shared" si="1"/>
        <v>Scope 1</v>
      </c>
      <c r="O35" s="1297" t="str">
        <f>IF($D35="N",($G35*(VLOOKUP($B35&amp;"|"&amp;C35,'Carbon factors'!$BY$7:$CC$44,3,0))), IF($D35="Y", "0", ""))</f>
        <v/>
      </c>
      <c r="P35" s="183" t="str">
        <f>IF($D35="N",($G35*(VLOOKUP($B35&amp;"|"&amp;$C35,'Carbon factors'!$BY$7:$CC$44,4,0))), IF($D35="Y", "0", ""))</f>
        <v/>
      </c>
      <c r="Q35" s="1296" t="str">
        <f>IF($D35="N",($G35*(VLOOKUP($B35&amp;"|"&amp;$C35,'Carbon factors'!$BY$7:$CC$44,5,0))), IF($D35="Y", "0", ""))</f>
        <v/>
      </c>
      <c r="S35" s="261"/>
      <c r="T35" s="159"/>
      <c r="U35" s="159"/>
      <c r="V35" s="524"/>
    </row>
    <row r="36" spans="1:22" x14ac:dyDescent="0.35">
      <c r="A36" s="898"/>
      <c r="B36" s="579"/>
      <c r="C36" s="579"/>
      <c r="D36" s="579"/>
      <c r="E36" s="186"/>
      <c r="F36" s="579" t="s">
        <v>473</v>
      </c>
      <c r="G36" s="577"/>
      <c r="H36" s="186"/>
      <c r="I36" s="501" t="str" cm="1">
        <f t="array" ref="I36">IFERROR((_xlfn.IFS(H36=$V$13,"2",H36=$V$14,"1",H36=$V$15,"1"))*G36,"")</f>
        <v/>
      </c>
      <c r="J36" s="212"/>
      <c r="K36" s="1124" t="str">
        <f>IFERROR(VLOOKUP($B36&amp;"|"&amp;C36,'Carbon factors'!$BY$7:$BZ$44,2,0),"")</f>
        <v/>
      </c>
      <c r="L36" s="691" t="str">
        <f t="shared" si="0"/>
        <v/>
      </c>
      <c r="M36" s="181" t="str">
        <f t="shared" si="1"/>
        <v>Scope 1</v>
      </c>
      <c r="O36" s="1297" t="str">
        <f>IF($D36="N",($G36*(VLOOKUP($B36&amp;"|"&amp;C36,'Carbon factors'!$BY$7:$CC$44,3,0))), IF($D36="Y", "0", ""))</f>
        <v/>
      </c>
      <c r="P36" s="183" t="str">
        <f>IF($D36="N",($G36*(VLOOKUP($B36&amp;"|"&amp;$C36,'Carbon factors'!$BY$7:$CC$44,4,0))), IF($D36="Y", "0", ""))</f>
        <v/>
      </c>
      <c r="Q36" s="1296" t="str">
        <f>IF($D36="N",($G36*(VLOOKUP($B36&amp;"|"&amp;$C36,'Carbon factors'!$BY$7:$CC$44,5,0))), IF($D36="Y", "0", ""))</f>
        <v/>
      </c>
      <c r="S36" s="261"/>
      <c r="T36" s="159"/>
      <c r="U36" s="159"/>
      <c r="V36" s="524"/>
    </row>
    <row r="37" spans="1:22" ht="15" thickBot="1" x14ac:dyDescent="0.4">
      <c r="A37" s="898"/>
      <c r="B37" s="579"/>
      <c r="C37" s="579"/>
      <c r="D37" s="579"/>
      <c r="E37" s="186"/>
      <c r="F37" s="579" t="s">
        <v>473</v>
      </c>
      <c r="G37" s="577"/>
      <c r="H37" s="186"/>
      <c r="I37" s="501" t="str" cm="1">
        <f t="array" ref="I37">IFERROR((_xlfn.IFS(H37=$V$13,"2",H37=$V$14,"1",H37=$V$15,"1"))*G37,"")</f>
        <v/>
      </c>
      <c r="J37" s="212"/>
      <c r="K37" s="1124" t="str">
        <f>IFERROR(VLOOKUP($B37&amp;"|"&amp;C37,'Carbon factors'!$BY$7:$BZ$44,2,0),"")</f>
        <v/>
      </c>
      <c r="L37" s="691" t="str">
        <f t="shared" si="0"/>
        <v/>
      </c>
      <c r="M37" s="181" t="str">
        <f t="shared" si="1"/>
        <v>Scope 1</v>
      </c>
      <c r="O37" s="1297" t="str">
        <f>IF($D37="N",($G37*(VLOOKUP($B37&amp;"|"&amp;C37,'Carbon factors'!$BY$7:$CC$44,3,0))), IF($D37="Y", "0", ""))</f>
        <v/>
      </c>
      <c r="P37" s="183" t="str">
        <f>IF($D37="N",($G37*(VLOOKUP($B37&amp;"|"&amp;$C37,'Carbon factors'!$BY$7:$CC$44,4,0))), IF($D37="Y", "0", ""))</f>
        <v/>
      </c>
      <c r="Q37" s="1296" t="str">
        <f>IF($D37="N",($G37*(VLOOKUP($B37&amp;"|"&amp;$C37,'Carbon factors'!$BY$7:$CC$44,5,0))), IF($D37="Y", "0", ""))</f>
        <v/>
      </c>
      <c r="S37" s="527"/>
      <c r="T37" s="551"/>
      <c r="U37" s="551"/>
      <c r="V37" s="528"/>
    </row>
    <row r="38" spans="1:22" x14ac:dyDescent="0.35">
      <c r="A38" s="898"/>
      <c r="B38" s="579"/>
      <c r="C38" s="579"/>
      <c r="D38" s="579"/>
      <c r="E38" s="186"/>
      <c r="F38" s="579" t="s">
        <v>473</v>
      </c>
      <c r="G38" s="577"/>
      <c r="H38" s="186"/>
      <c r="I38" s="501" t="str" cm="1">
        <f t="array" ref="I38">IFERROR((_xlfn.IFS(H38=$V$13,"2",H38=$V$14,"1",H38=$V$15,"1"))*G38,"")</f>
        <v/>
      </c>
      <c r="J38" s="212"/>
      <c r="K38" s="1124" t="str">
        <f>IFERROR(VLOOKUP($B38&amp;"|"&amp;C38,'Carbon factors'!$BY$7:$BZ$44,2,0),"")</f>
        <v/>
      </c>
      <c r="L38" s="691" t="str">
        <f t="shared" si="0"/>
        <v/>
      </c>
      <c r="M38" s="181" t="str">
        <f t="shared" si="1"/>
        <v>Scope 1</v>
      </c>
      <c r="O38" s="1297" t="str">
        <f>IF($D38="N",($G38*(VLOOKUP($B38&amp;"|"&amp;C38,'Carbon factors'!$BY$7:$CC$44,3,0))), IF($D38="Y", "0", ""))</f>
        <v/>
      </c>
      <c r="P38" s="183" t="str">
        <f>IF($D38="N",($G38*(VLOOKUP($B38&amp;"|"&amp;$C38,'Carbon factors'!$BY$7:$CC$44,4,0))), IF($D38="Y", "0", ""))</f>
        <v/>
      </c>
      <c r="Q38" s="1296" t="str">
        <f>IF($D38="N",($G38*(VLOOKUP($B38&amp;"|"&amp;$C38,'Carbon factors'!$BY$7:$CC$44,5,0))), IF($D38="Y", "0", ""))</f>
        <v/>
      </c>
    </row>
    <row r="39" spans="1:22" x14ac:dyDescent="0.35">
      <c r="A39" s="898"/>
      <c r="B39" s="579"/>
      <c r="C39" s="579"/>
      <c r="D39" s="579"/>
      <c r="E39" s="186"/>
      <c r="F39" s="579" t="s">
        <v>473</v>
      </c>
      <c r="G39" s="577"/>
      <c r="H39" s="186"/>
      <c r="I39" s="501" t="str" cm="1">
        <f t="array" ref="I39">IFERROR((_xlfn.IFS(H39=$V$13,"2",H39=$V$14,"1",H39=$V$15,"1"))*G39,"")</f>
        <v/>
      </c>
      <c r="J39" s="212"/>
      <c r="K39" s="1124" t="str">
        <f>IFERROR(VLOOKUP($B39&amp;"|"&amp;C39,'Carbon factors'!$BY$7:$BZ$44,2,0),"")</f>
        <v/>
      </c>
      <c r="L39" s="691" t="str">
        <f t="shared" si="0"/>
        <v/>
      </c>
      <c r="M39" s="181" t="str">
        <f t="shared" si="1"/>
        <v>Scope 1</v>
      </c>
      <c r="O39" s="1297" t="str">
        <f>IF($D39="N",($G39*(VLOOKUP($B39&amp;"|"&amp;C39,'Carbon factors'!$BY$7:$CC$44,3,0))), IF($D39="Y", "0", ""))</f>
        <v/>
      </c>
      <c r="P39" s="183" t="str">
        <f>IF($D39="N",($G39*(VLOOKUP($B39&amp;"|"&amp;$C39,'Carbon factors'!$BY$7:$CC$44,4,0))), IF($D39="Y", "0", ""))</f>
        <v/>
      </c>
      <c r="Q39" s="1296" t="str">
        <f>IF($D39="N",($G39*(VLOOKUP($B39&amp;"|"&amp;$C39,'Carbon factors'!$BY$7:$CC$44,5,0))), IF($D39="Y", "0", ""))</f>
        <v/>
      </c>
    </row>
    <row r="40" spans="1:22" x14ac:dyDescent="0.35">
      <c r="A40" s="898"/>
      <c r="B40" s="579"/>
      <c r="C40" s="579"/>
      <c r="D40" s="579"/>
      <c r="E40" s="186"/>
      <c r="F40" s="579" t="s">
        <v>473</v>
      </c>
      <c r="G40" s="577"/>
      <c r="H40" s="186"/>
      <c r="I40" s="501" t="str" cm="1">
        <f t="array" ref="I40">IFERROR((_xlfn.IFS(H40=$V$13,"2",H40=$V$14,"1",H40=$V$15,"1"))*G40,"")</f>
        <v/>
      </c>
      <c r="J40" s="212"/>
      <c r="K40" s="1124" t="str">
        <f>IFERROR(VLOOKUP($B40&amp;"|"&amp;C40,'Carbon factors'!$BY$7:$BZ$44,2,0),"")</f>
        <v/>
      </c>
      <c r="L40" s="691" t="str">
        <f t="shared" si="0"/>
        <v/>
      </c>
      <c r="M40" s="181" t="str">
        <f t="shared" si="1"/>
        <v>Scope 1</v>
      </c>
      <c r="O40" s="1297" t="str">
        <f>IF($D40="N",($G40*(VLOOKUP($B40&amp;"|"&amp;C40,'Carbon factors'!$BY$7:$CC$44,3,0))), IF($D40="Y", "0", ""))</f>
        <v/>
      </c>
      <c r="P40" s="183" t="str">
        <f>IF($D40="N",($G40*(VLOOKUP($B40&amp;"|"&amp;$C40,'Carbon factors'!$BY$7:$CC$44,4,0))), IF($D40="Y", "0", ""))</f>
        <v/>
      </c>
      <c r="Q40" s="1296" t="str">
        <f>IF($D40="N",($G40*(VLOOKUP($B40&amp;"|"&amp;$C40,'Carbon factors'!$BY$7:$CC$44,5,0))), IF($D40="Y", "0", ""))</f>
        <v/>
      </c>
    </row>
    <row r="41" spans="1:22" x14ac:dyDescent="0.35">
      <c r="A41" s="898"/>
      <c r="B41" s="579"/>
      <c r="C41" s="579"/>
      <c r="D41" s="579"/>
      <c r="E41" s="186"/>
      <c r="F41" s="579" t="s">
        <v>473</v>
      </c>
      <c r="G41" s="577"/>
      <c r="H41" s="186"/>
      <c r="I41" s="501" t="str" cm="1">
        <f t="array" ref="I41">IFERROR((_xlfn.IFS(H41=$V$13,"2",H41=$V$14,"1",H41=$V$15,"1"))*G41,"")</f>
        <v/>
      </c>
      <c r="J41" s="212"/>
      <c r="K41" s="1124" t="str">
        <f>IFERROR(VLOOKUP($B41&amp;"|"&amp;C41,'Carbon factors'!$BY$7:$BZ$44,2,0),"")</f>
        <v/>
      </c>
      <c r="L41" s="691" t="str">
        <f t="shared" si="0"/>
        <v/>
      </c>
      <c r="M41" s="181" t="str">
        <f t="shared" si="1"/>
        <v>Scope 1</v>
      </c>
      <c r="O41" s="1297" t="str">
        <f>IF($D41="N",($G41*(VLOOKUP($B41&amp;"|"&amp;C41,'Carbon factors'!$BY$7:$CC$44,3,0))), IF($D41="Y", "0", ""))</f>
        <v/>
      </c>
      <c r="P41" s="183" t="str">
        <f>IF($D41="N",($G41*(VLOOKUP($B41&amp;"|"&amp;$C41,'Carbon factors'!$BY$7:$CC$44,4,0))), IF($D41="Y", "0", ""))</f>
        <v/>
      </c>
      <c r="Q41" s="1296" t="str">
        <f>IF($D41="N",($G41*(VLOOKUP($B41&amp;"|"&amp;$C41,'Carbon factors'!$BY$7:$CC$44,5,0))), IF($D41="Y", "0", ""))</f>
        <v/>
      </c>
    </row>
    <row r="42" spans="1:22" x14ac:dyDescent="0.35">
      <c r="A42" s="898"/>
      <c r="B42" s="579"/>
      <c r="C42" s="579"/>
      <c r="D42" s="579"/>
      <c r="E42" s="186"/>
      <c r="F42" s="579" t="s">
        <v>473</v>
      </c>
      <c r="G42" s="577"/>
      <c r="H42" s="186"/>
      <c r="I42" s="501" t="str" cm="1">
        <f t="array" ref="I42">IFERROR((_xlfn.IFS(H42=$V$13,"2",H42=$V$14,"1",H42=$V$15,"1"))*G42,"")</f>
        <v/>
      </c>
      <c r="J42" s="212"/>
      <c r="K42" s="1124" t="str">
        <f>IFERROR(VLOOKUP($B42&amp;"|"&amp;C42,'Carbon factors'!$BY$7:$BZ$44,2,0),"")</f>
        <v/>
      </c>
      <c r="L42" s="691" t="str">
        <f t="shared" si="0"/>
        <v/>
      </c>
      <c r="M42" s="181" t="str">
        <f t="shared" si="1"/>
        <v>Scope 1</v>
      </c>
      <c r="O42" s="1297" t="str">
        <f>IF($D42="N",($G42*(VLOOKUP($B42&amp;"|"&amp;C42,'Carbon factors'!$BY$7:$CC$44,3,0))), IF($D42="Y", "0", ""))</f>
        <v/>
      </c>
      <c r="P42" s="183" t="str">
        <f>IF($D42="N",($G42*(VLOOKUP($B42&amp;"|"&amp;$C42,'Carbon factors'!$BY$7:$CC$44,4,0))), IF($D42="Y", "0", ""))</f>
        <v/>
      </c>
      <c r="Q42" s="1296" t="str">
        <f>IF($D42="N",($G42*(VLOOKUP($B42&amp;"|"&amp;$C42,'Carbon factors'!$BY$7:$CC$44,5,0))), IF($D42="Y", "0", ""))</f>
        <v/>
      </c>
    </row>
    <row r="43" spans="1:22" x14ac:dyDescent="0.35">
      <c r="A43" s="898"/>
      <c r="B43" s="579"/>
      <c r="C43" s="579"/>
      <c r="D43" s="579"/>
      <c r="E43" s="186"/>
      <c r="F43" s="579" t="s">
        <v>473</v>
      </c>
      <c r="G43" s="577"/>
      <c r="H43" s="186"/>
      <c r="I43" s="501" t="str" cm="1">
        <f t="array" ref="I43">IFERROR((_xlfn.IFS(H43=$V$13,"2",H43=$V$14,"1",H43=$V$15,"1"))*G43,"")</f>
        <v/>
      </c>
      <c r="J43" s="212"/>
      <c r="K43" s="1124" t="str">
        <f>IFERROR(VLOOKUP($B43&amp;"|"&amp;C43,'Carbon factors'!$BY$7:$BZ$44,2,0),"")</f>
        <v/>
      </c>
      <c r="L43" s="691" t="str">
        <f t="shared" si="0"/>
        <v/>
      </c>
      <c r="M43" s="181" t="str">
        <f t="shared" si="1"/>
        <v>Scope 1</v>
      </c>
      <c r="O43" s="1297" t="str">
        <f>IF($D43="N",($G43*(VLOOKUP($B43&amp;"|"&amp;C43,'Carbon factors'!$BY$7:$CC$44,3,0))), IF($D43="Y", "0", ""))</f>
        <v/>
      </c>
      <c r="P43" s="183" t="str">
        <f>IF($D43="N",($G43*(VLOOKUP($B43&amp;"|"&amp;$C43,'Carbon factors'!$BY$7:$CC$44,4,0))), IF($D43="Y", "0", ""))</f>
        <v/>
      </c>
      <c r="Q43" s="1296" t="str">
        <f>IF($D43="N",($G43*(VLOOKUP($B43&amp;"|"&amp;$C43,'Carbon factors'!$BY$7:$CC$44,5,0))), IF($D43="Y", "0", ""))</f>
        <v/>
      </c>
    </row>
    <row r="44" spans="1:22" x14ac:dyDescent="0.35">
      <c r="A44" s="898"/>
      <c r="B44" s="579"/>
      <c r="C44" s="579"/>
      <c r="D44" s="579"/>
      <c r="E44" s="186"/>
      <c r="F44" s="579" t="s">
        <v>473</v>
      </c>
      <c r="G44" s="577"/>
      <c r="H44" s="186"/>
      <c r="I44" s="501" t="str" cm="1">
        <f t="array" ref="I44">IFERROR((_xlfn.IFS(H44=$V$13,"2",H44=$V$14,"1",H44=$V$15,"1"))*G44,"")</f>
        <v/>
      </c>
      <c r="J44" s="212"/>
      <c r="K44" s="1124" t="str">
        <f>IFERROR(VLOOKUP($B44&amp;"|"&amp;C44,'Carbon factors'!$BY$7:$BZ$44,2,0),"")</f>
        <v/>
      </c>
      <c r="L44" s="691" t="str">
        <f t="shared" si="0"/>
        <v/>
      </c>
      <c r="M44" s="181" t="str">
        <f t="shared" si="1"/>
        <v>Scope 1</v>
      </c>
      <c r="O44" s="1297" t="str">
        <f>IF($D44="N",($G44*(VLOOKUP($B44&amp;"|"&amp;C44,'Carbon factors'!$BY$7:$CC$44,3,0))), IF($D44="Y", "0", ""))</f>
        <v/>
      </c>
      <c r="P44" s="183" t="str">
        <f>IF($D44="N",($G44*(VLOOKUP($B44&amp;"|"&amp;$C44,'Carbon factors'!$BY$7:$CC$44,4,0))), IF($D44="Y", "0", ""))</f>
        <v/>
      </c>
      <c r="Q44" s="1296" t="str">
        <f>IF($D44="N",($G44*(VLOOKUP($B44&amp;"|"&amp;$C44,'Carbon factors'!$BY$7:$CC$44,5,0))), IF($D44="Y", "0", ""))</f>
        <v/>
      </c>
    </row>
    <row r="45" spans="1:22" x14ac:dyDescent="0.35">
      <c r="A45" s="898"/>
      <c r="B45" s="579"/>
      <c r="C45" s="579"/>
      <c r="D45" s="579"/>
      <c r="E45" s="186"/>
      <c r="F45" s="579" t="s">
        <v>473</v>
      </c>
      <c r="G45" s="577"/>
      <c r="H45" s="186"/>
      <c r="I45" s="501" t="str" cm="1">
        <f t="array" ref="I45">IFERROR((_xlfn.IFS(H45=$V$13,"2",H45=$V$14,"1",H45=$V$15,"1"))*G45,"")</f>
        <v/>
      </c>
      <c r="J45" s="212"/>
      <c r="K45" s="1124" t="str">
        <f>IFERROR(VLOOKUP($B45&amp;"|"&amp;C45,'Carbon factors'!$BY$7:$BZ$44,2,0),"")</f>
        <v/>
      </c>
      <c r="L45" s="691" t="str">
        <f t="shared" si="0"/>
        <v/>
      </c>
      <c r="M45" s="181" t="str">
        <f t="shared" si="1"/>
        <v>Scope 1</v>
      </c>
      <c r="O45" s="1297" t="str">
        <f>IF($D45="N",($G45*(VLOOKUP($B45&amp;"|"&amp;C45,'Carbon factors'!$BY$7:$CC$44,3,0))), IF($D45="Y", "0", ""))</f>
        <v/>
      </c>
      <c r="P45" s="183" t="str">
        <f>IF($D45="N",($G45*(VLOOKUP($B45&amp;"|"&amp;$C45,'Carbon factors'!$BY$7:$CC$44,4,0))), IF($D45="Y", "0", ""))</f>
        <v/>
      </c>
      <c r="Q45" s="1296" t="str">
        <f>IF($D45="N",($G45*(VLOOKUP($B45&amp;"|"&amp;$C45,'Carbon factors'!$BY$7:$CC$44,5,0))), IF($D45="Y", "0", ""))</f>
        <v/>
      </c>
    </row>
    <row r="46" spans="1:22" x14ac:dyDescent="0.35">
      <c r="A46" s="898"/>
      <c r="B46" s="579"/>
      <c r="C46" s="579"/>
      <c r="D46" s="579"/>
      <c r="E46" s="186"/>
      <c r="F46" s="579" t="s">
        <v>473</v>
      </c>
      <c r="G46" s="577"/>
      <c r="H46" s="186"/>
      <c r="I46" s="501" t="str" cm="1">
        <f t="array" ref="I46">IFERROR((_xlfn.IFS(H46=$V$13,"2",H46=$V$14,"1",H46=$V$15,"1"))*G46,"")</f>
        <v/>
      </c>
      <c r="J46" s="212"/>
      <c r="K46" s="1124" t="str">
        <f>IFERROR(VLOOKUP($B46&amp;"|"&amp;C46,'Carbon factors'!$BY$7:$BZ$44,2,0),"")</f>
        <v/>
      </c>
      <c r="L46" s="691" t="str">
        <f t="shared" si="0"/>
        <v/>
      </c>
      <c r="M46" s="181" t="str">
        <f t="shared" si="1"/>
        <v>Scope 1</v>
      </c>
      <c r="O46" s="1297" t="str">
        <f>IF($D46="N",($G46*(VLOOKUP($B46&amp;"|"&amp;C46,'Carbon factors'!$BY$7:$CC$44,3,0))), IF($D46="Y", "0", ""))</f>
        <v/>
      </c>
      <c r="P46" s="183" t="str">
        <f>IF($D46="N",($G46*(VLOOKUP($B46&amp;"|"&amp;$C46,'Carbon factors'!$BY$7:$CC$44,4,0))), IF($D46="Y", "0", ""))</f>
        <v/>
      </c>
      <c r="Q46" s="1296" t="str">
        <f>IF($D46="N",($G46*(VLOOKUP($B46&amp;"|"&amp;$C46,'Carbon factors'!$BY$7:$CC$44,5,0))), IF($D46="Y", "0", ""))</f>
        <v/>
      </c>
    </row>
    <row r="47" spans="1:22" x14ac:dyDescent="0.35">
      <c r="A47" s="898"/>
      <c r="B47" s="579"/>
      <c r="C47" s="579"/>
      <c r="D47" s="579"/>
      <c r="E47" s="186"/>
      <c r="F47" s="579" t="s">
        <v>473</v>
      </c>
      <c r="G47" s="577"/>
      <c r="H47" s="186"/>
      <c r="I47" s="501" t="str" cm="1">
        <f t="array" ref="I47">IFERROR((_xlfn.IFS(H47=$V$13,"2",H47=$V$14,"1",H47=$V$15,"1"))*G47,"")</f>
        <v/>
      </c>
      <c r="J47" s="212"/>
      <c r="K47" s="1124" t="str">
        <f>IFERROR(VLOOKUP($B47&amp;"|"&amp;C47,'Carbon factors'!$BY$7:$BZ$44,2,0),"")</f>
        <v/>
      </c>
      <c r="L47" s="691" t="str">
        <f t="shared" si="0"/>
        <v/>
      </c>
      <c r="M47" s="181" t="str">
        <f t="shared" si="1"/>
        <v>Scope 1</v>
      </c>
      <c r="O47" s="1297" t="str">
        <f>IF($D47="N",($G47*(VLOOKUP($B47&amp;"|"&amp;C47,'Carbon factors'!$BY$7:$CC$44,3,0))), IF($D47="Y", "0", ""))</f>
        <v/>
      </c>
      <c r="P47" s="183" t="str">
        <f>IF($D47="N",($G47*(VLOOKUP($B47&amp;"|"&amp;$C47,'Carbon factors'!$BY$7:$CC$44,4,0))), IF($D47="Y", "0", ""))</f>
        <v/>
      </c>
      <c r="Q47" s="1296" t="str">
        <f>IF($D47="N",($G47*(VLOOKUP($B47&amp;"|"&amp;$C47,'Carbon factors'!$BY$7:$CC$44,5,0))), IF($D47="Y", "0", ""))</f>
        <v/>
      </c>
    </row>
    <row r="48" spans="1:22" x14ac:dyDescent="0.35">
      <c r="A48" s="898"/>
      <c r="B48" s="579"/>
      <c r="C48" s="579"/>
      <c r="D48" s="579"/>
      <c r="E48" s="186"/>
      <c r="F48" s="579" t="s">
        <v>473</v>
      </c>
      <c r="G48" s="577"/>
      <c r="H48" s="186"/>
      <c r="I48" s="501" t="str" cm="1">
        <f t="array" ref="I48">IFERROR((_xlfn.IFS(H48=$V$13,"2",H48=$V$14,"1",H48=$V$15,"1"))*G48,"")</f>
        <v/>
      </c>
      <c r="J48" s="212"/>
      <c r="K48" s="1124" t="str">
        <f>IFERROR(VLOOKUP($B48&amp;"|"&amp;C48,'Carbon factors'!$BY$7:$BZ$44,2,0),"")</f>
        <v/>
      </c>
      <c r="L48" s="691" t="str">
        <f t="shared" si="0"/>
        <v/>
      </c>
      <c r="M48" s="181" t="str">
        <f t="shared" si="1"/>
        <v>Scope 1</v>
      </c>
      <c r="O48" s="1297" t="str">
        <f>IF($D48="N",($G48*(VLOOKUP($B48&amp;"|"&amp;C48,'Carbon factors'!$BY$7:$CC$44,3,0))), IF($D48="Y", "0", ""))</f>
        <v/>
      </c>
      <c r="P48" s="183" t="str">
        <f>IF($D48="N",($G48*(VLOOKUP($B48&amp;"|"&amp;$C48,'Carbon factors'!$BY$7:$CC$44,4,0))), IF($D48="Y", "0", ""))</f>
        <v/>
      </c>
      <c r="Q48" s="1296" t="str">
        <f>IF($D48="N",($G48*(VLOOKUP($B48&amp;"|"&amp;$C48,'Carbon factors'!$BY$7:$CC$44,5,0))), IF($D48="Y", "0", ""))</f>
        <v/>
      </c>
    </row>
    <row r="49" spans="1:17" x14ac:dyDescent="0.35">
      <c r="A49" s="898"/>
      <c r="B49" s="579"/>
      <c r="C49" s="579"/>
      <c r="D49" s="579"/>
      <c r="E49" s="186"/>
      <c r="F49" s="579" t="s">
        <v>473</v>
      </c>
      <c r="G49" s="577"/>
      <c r="H49" s="186"/>
      <c r="I49" s="501" t="str" cm="1">
        <f t="array" ref="I49">IFERROR((_xlfn.IFS(H49=$V$13,"2",H49=$V$14,"1",H49=$V$15,"1"))*G49,"")</f>
        <v/>
      </c>
      <c r="J49" s="212"/>
      <c r="K49" s="1124" t="str">
        <f>IFERROR(VLOOKUP($B49&amp;"|"&amp;C49,'Carbon factors'!$BY$7:$BZ$44,2,0),"")</f>
        <v/>
      </c>
      <c r="L49" s="691" t="str">
        <f t="shared" si="0"/>
        <v/>
      </c>
      <c r="M49" s="181" t="str">
        <f t="shared" si="1"/>
        <v>Scope 1</v>
      </c>
      <c r="O49" s="1297" t="str">
        <f>IF($D49="N",($G49*(VLOOKUP($B49&amp;"|"&amp;C49,'Carbon factors'!$BY$7:$CC$44,3,0))), IF($D49="Y", "0", ""))</f>
        <v/>
      </c>
      <c r="P49" s="183" t="str">
        <f>IF($D49="N",($G49*(VLOOKUP($B49&amp;"|"&amp;$C49,'Carbon factors'!$BY$7:$CC$44,4,0))), IF($D49="Y", "0", ""))</f>
        <v/>
      </c>
      <c r="Q49" s="1296" t="str">
        <f>IF($D49="N",($G49*(VLOOKUP($B49&amp;"|"&amp;$C49,'Carbon factors'!$BY$7:$CC$44,5,0))), IF($D49="Y", "0", ""))</f>
        <v/>
      </c>
    </row>
    <row r="50" spans="1:17" x14ac:dyDescent="0.35">
      <c r="A50" s="898"/>
      <c r="B50" s="579"/>
      <c r="C50" s="579"/>
      <c r="D50" s="579"/>
      <c r="E50" s="186"/>
      <c r="F50" s="579" t="s">
        <v>473</v>
      </c>
      <c r="G50" s="577"/>
      <c r="H50" s="186"/>
      <c r="I50" s="501" t="str" cm="1">
        <f t="array" ref="I50">IFERROR((_xlfn.IFS(H50=$V$13,"2",H50=$V$14,"1",H50=$V$15,"1"))*G50,"")</f>
        <v/>
      </c>
      <c r="J50" s="212"/>
      <c r="K50" s="1124" t="str">
        <f>IFERROR(VLOOKUP($B50&amp;"|"&amp;C50,'Carbon factors'!$BY$7:$BZ$44,2,0),"")</f>
        <v/>
      </c>
      <c r="L50" s="691" t="str">
        <f t="shared" si="0"/>
        <v/>
      </c>
      <c r="M50" s="181" t="str">
        <f t="shared" si="1"/>
        <v>Scope 1</v>
      </c>
      <c r="O50" s="1297" t="str">
        <f>IF($D50="N",($G50*(VLOOKUP($B50&amp;"|"&amp;C50,'Carbon factors'!$BY$7:$CC$44,3,0))), IF($D50="Y", "0", ""))</f>
        <v/>
      </c>
      <c r="P50" s="183" t="str">
        <f>IF($D50="N",($G50*(VLOOKUP($B50&amp;"|"&amp;$C50,'Carbon factors'!$BY$7:$CC$44,4,0))), IF($D50="Y", "0", ""))</f>
        <v/>
      </c>
      <c r="Q50" s="1296" t="str">
        <f>IF($D50="N",($G50*(VLOOKUP($B50&amp;"|"&amp;$C50,'Carbon factors'!$BY$7:$CC$44,5,0))), IF($D50="Y", "0", ""))</f>
        <v/>
      </c>
    </row>
    <row r="51" spans="1:17" x14ac:dyDescent="0.35">
      <c r="A51" s="898"/>
      <c r="B51" s="579"/>
      <c r="C51" s="579"/>
      <c r="D51" s="579"/>
      <c r="E51" s="186"/>
      <c r="F51" s="579" t="s">
        <v>473</v>
      </c>
      <c r="G51" s="577"/>
      <c r="H51" s="186"/>
      <c r="I51" s="501" t="str" cm="1">
        <f t="array" ref="I51">IFERROR((_xlfn.IFS(H51=$V$13,"2",H51=$V$14,"1",H51=$V$15,"1"))*G51,"")</f>
        <v/>
      </c>
      <c r="J51" s="212"/>
      <c r="K51" s="1124" t="str">
        <f>IFERROR(VLOOKUP($B51&amp;"|"&amp;C51,'Carbon factors'!$BY$7:$BZ$44,2,0),"")</f>
        <v/>
      </c>
      <c r="L51" s="691" t="str">
        <f t="shared" si="0"/>
        <v/>
      </c>
      <c r="M51" s="181" t="str">
        <f t="shared" si="1"/>
        <v>Scope 1</v>
      </c>
      <c r="O51" s="1297" t="str">
        <f>IF($D51="N",($G51*(VLOOKUP($B51&amp;"|"&amp;C51,'Carbon factors'!$BY$7:$CC$44,3,0))), IF($D51="Y", "0", ""))</f>
        <v/>
      </c>
      <c r="P51" s="183" t="str">
        <f>IF($D51="N",($G51*(VLOOKUP($B51&amp;"|"&amp;$C51,'Carbon factors'!$BY$7:$CC$44,4,0))), IF($D51="Y", "0", ""))</f>
        <v/>
      </c>
      <c r="Q51" s="1296" t="str">
        <f>IF($D51="N",($G51*(VLOOKUP($B51&amp;"|"&amp;$C51,'Carbon factors'!$BY$7:$CC$44,5,0))), IF($D51="Y", "0", ""))</f>
        <v/>
      </c>
    </row>
    <row r="52" spans="1:17" x14ac:dyDescent="0.35">
      <c r="A52" s="898"/>
      <c r="B52" s="579"/>
      <c r="C52" s="579"/>
      <c r="D52" s="579"/>
      <c r="E52" s="186"/>
      <c r="F52" s="579" t="s">
        <v>473</v>
      </c>
      <c r="G52" s="577"/>
      <c r="H52" s="186"/>
      <c r="I52" s="501" t="str" cm="1">
        <f t="array" ref="I52">IFERROR((_xlfn.IFS(H52=$V$13,"2",H52=$V$14,"1",H52=$V$15,"1"))*G52,"")</f>
        <v/>
      </c>
      <c r="J52" s="212"/>
      <c r="K52" s="1124" t="str">
        <f>IFERROR(VLOOKUP($B52&amp;"|"&amp;C52,'Carbon factors'!$BY$7:$BZ$44,2,0),"")</f>
        <v/>
      </c>
      <c r="L52" s="691" t="str">
        <f t="shared" si="0"/>
        <v/>
      </c>
      <c r="M52" s="181" t="str">
        <f t="shared" si="1"/>
        <v>Scope 1</v>
      </c>
      <c r="O52" s="1297" t="str">
        <f>IF($D52="N",($G52*(VLOOKUP($B52&amp;"|"&amp;C52,'Carbon factors'!$BY$7:$CC$44,3,0))), IF($D52="Y", "0", ""))</f>
        <v/>
      </c>
      <c r="P52" s="183" t="str">
        <f>IF($D52="N",($G52*(VLOOKUP($B52&amp;"|"&amp;$C52,'Carbon factors'!$BY$7:$CC$44,4,0))), IF($D52="Y", "0", ""))</f>
        <v/>
      </c>
      <c r="Q52" s="1296" t="str">
        <f>IF($D52="N",($G52*(VLOOKUP($B52&amp;"|"&amp;$C52,'Carbon factors'!$BY$7:$CC$44,5,0))), IF($D52="Y", "0", ""))</f>
        <v/>
      </c>
    </row>
    <row r="53" spans="1:17" x14ac:dyDescent="0.35">
      <c r="A53" s="898"/>
      <c r="B53" s="579"/>
      <c r="C53" s="579"/>
      <c r="D53" s="579"/>
      <c r="E53" s="186"/>
      <c r="F53" s="579" t="s">
        <v>473</v>
      </c>
      <c r="G53" s="577"/>
      <c r="H53" s="186"/>
      <c r="I53" s="501" t="str" cm="1">
        <f t="array" ref="I53">IFERROR((_xlfn.IFS(H53=$V$13,"2",H53=$V$14,"1",H53=$V$15,"1"))*G53,"")</f>
        <v/>
      </c>
      <c r="J53" s="212"/>
      <c r="K53" s="1124" t="str">
        <f>IFERROR(VLOOKUP($B53&amp;"|"&amp;C53,'Carbon factors'!$BY$7:$BZ$44,2,0),"")</f>
        <v/>
      </c>
      <c r="L53" s="691" t="str">
        <f t="shared" si="0"/>
        <v/>
      </c>
      <c r="M53" s="181" t="str">
        <f t="shared" si="1"/>
        <v>Scope 1</v>
      </c>
      <c r="O53" s="1297" t="str">
        <f>IF($D53="N",($G53*(VLOOKUP($B53&amp;"|"&amp;C53,'Carbon factors'!$BY$7:$CC$44,3,0))), IF($D53="Y", "0", ""))</f>
        <v/>
      </c>
      <c r="P53" s="183" t="str">
        <f>IF($D53="N",($G53*(VLOOKUP($B53&amp;"|"&amp;$C53,'Carbon factors'!$BY$7:$CC$44,4,0))), IF($D53="Y", "0", ""))</f>
        <v/>
      </c>
      <c r="Q53" s="1296" t="str">
        <f>IF($D53="N",($G53*(VLOOKUP($B53&amp;"|"&amp;$C53,'Carbon factors'!$BY$7:$CC$44,5,0))), IF($D53="Y", "0", ""))</f>
        <v/>
      </c>
    </row>
    <row r="54" spans="1:17" x14ac:dyDescent="0.35">
      <c r="A54" s="898"/>
      <c r="B54" s="579"/>
      <c r="C54" s="579"/>
      <c r="D54" s="579"/>
      <c r="E54" s="186"/>
      <c r="F54" s="579" t="s">
        <v>473</v>
      </c>
      <c r="G54" s="577"/>
      <c r="H54" s="186"/>
      <c r="I54" s="501" t="str" cm="1">
        <f t="array" ref="I54">IFERROR((_xlfn.IFS(H54=$V$13,"2",H54=$V$14,"1",H54=$V$15,"1"))*G54,"")</f>
        <v/>
      </c>
      <c r="J54" s="212"/>
      <c r="K54" s="1124" t="str">
        <f>IFERROR(VLOOKUP($B54&amp;"|"&amp;C54,'Carbon factors'!$BY$7:$BZ$44,2,0),"")</f>
        <v/>
      </c>
      <c r="L54" s="691" t="str">
        <f t="shared" si="0"/>
        <v/>
      </c>
      <c r="M54" s="181" t="str">
        <f t="shared" si="1"/>
        <v>Scope 1</v>
      </c>
      <c r="O54" s="1297" t="str">
        <f>IF($D54="N",($G54*(VLOOKUP($B54&amp;"|"&amp;C54,'Carbon factors'!$BY$7:$CC$44,3,0))), IF($D54="Y", "0", ""))</f>
        <v/>
      </c>
      <c r="P54" s="183" t="str">
        <f>IF($D54="N",($G54*(VLOOKUP($B54&amp;"|"&amp;$C54,'Carbon factors'!$BY$7:$CC$44,4,0))), IF($D54="Y", "0", ""))</f>
        <v/>
      </c>
      <c r="Q54" s="1296" t="str">
        <f>IF($D54="N",($G54*(VLOOKUP($B54&amp;"|"&amp;$C54,'Carbon factors'!$BY$7:$CC$44,5,0))), IF($D54="Y", "0", ""))</f>
        <v/>
      </c>
    </row>
    <row r="55" spans="1:17" x14ac:dyDescent="0.35">
      <c r="A55" s="898"/>
      <c r="B55" s="579"/>
      <c r="C55" s="579"/>
      <c r="D55" s="579"/>
      <c r="E55" s="186"/>
      <c r="F55" s="579" t="s">
        <v>473</v>
      </c>
      <c r="G55" s="577"/>
      <c r="H55" s="186"/>
      <c r="I55" s="501" t="str" cm="1">
        <f t="array" ref="I55">IFERROR((_xlfn.IFS(H55=$V$13,"2",H55=$V$14,"1",H55=$V$15,"1"))*G55,"")</f>
        <v/>
      </c>
      <c r="J55" s="212"/>
      <c r="K55" s="1124" t="str">
        <f>IFERROR(VLOOKUP($B55&amp;"|"&amp;C55,'Carbon factors'!$BY$7:$BZ$44,2,0),"")</f>
        <v/>
      </c>
      <c r="L55" s="691" t="str">
        <f t="shared" si="0"/>
        <v/>
      </c>
      <c r="M55" s="181" t="str">
        <f t="shared" si="1"/>
        <v>Scope 1</v>
      </c>
      <c r="O55" s="1297" t="str">
        <f>IF($D55="N",($G55*(VLOOKUP($B55&amp;"|"&amp;C55,'Carbon factors'!$BY$7:$CC$44,3,0))), IF($D55="Y", "0", ""))</f>
        <v/>
      </c>
      <c r="P55" s="183" t="str">
        <f>IF($D55="N",($G55*(VLOOKUP($B55&amp;"|"&amp;$C55,'Carbon factors'!$BY$7:$CC$44,4,0))), IF($D55="Y", "0", ""))</f>
        <v/>
      </c>
      <c r="Q55" s="1296" t="str">
        <f>IF($D55="N",($G55*(VLOOKUP($B55&amp;"|"&amp;$C55,'Carbon factors'!$BY$7:$CC$44,5,0))), IF($D55="Y", "0", ""))</f>
        <v/>
      </c>
    </row>
    <row r="56" spans="1:17" x14ac:dyDescent="0.35">
      <c r="A56" s="898"/>
      <c r="B56" s="579"/>
      <c r="C56" s="579"/>
      <c r="D56" s="579"/>
      <c r="E56" s="186"/>
      <c r="F56" s="579" t="s">
        <v>473</v>
      </c>
      <c r="G56" s="577"/>
      <c r="H56" s="186"/>
      <c r="I56" s="501" t="str" cm="1">
        <f t="array" ref="I56">IFERROR((_xlfn.IFS(H56=$V$13,"2",H56=$V$14,"1",H56=$V$15,"1"))*G56,"")</f>
        <v/>
      </c>
      <c r="J56" s="212"/>
      <c r="K56" s="1124" t="str">
        <f>IFERROR(VLOOKUP($B56&amp;"|"&amp;C56,'Carbon factors'!$BY$7:$BZ$44,2,0),"")</f>
        <v/>
      </c>
      <c r="L56" s="691" t="str">
        <f t="shared" si="0"/>
        <v/>
      </c>
      <c r="M56" s="181" t="str">
        <f t="shared" si="1"/>
        <v>Scope 1</v>
      </c>
      <c r="O56" s="1297" t="str">
        <f>IF($D56="N",($G56*(VLOOKUP($B56&amp;"|"&amp;C56,'Carbon factors'!$BY$7:$CC$44,3,0))), IF($D56="Y", "0", ""))</f>
        <v/>
      </c>
      <c r="P56" s="183" t="str">
        <f>IF($D56="N",($G56*(VLOOKUP($B56&amp;"|"&amp;$C56,'Carbon factors'!$BY$7:$CC$44,4,0))), IF($D56="Y", "0", ""))</f>
        <v/>
      </c>
      <c r="Q56" s="1296" t="str">
        <f>IF($D56="N",($G56*(VLOOKUP($B56&amp;"|"&amp;$C56,'Carbon factors'!$BY$7:$CC$44,5,0))), IF($D56="Y", "0", ""))</f>
        <v/>
      </c>
    </row>
    <row r="57" spans="1:17" x14ac:dyDescent="0.35">
      <c r="A57" s="898"/>
      <c r="B57" s="579"/>
      <c r="C57" s="579"/>
      <c r="D57" s="579"/>
      <c r="E57" s="186"/>
      <c r="F57" s="579" t="s">
        <v>473</v>
      </c>
      <c r="G57" s="577"/>
      <c r="H57" s="186"/>
      <c r="I57" s="501" t="str" cm="1">
        <f t="array" ref="I57">IFERROR((_xlfn.IFS(H57=$V$13,"2",H57=$V$14,"1",H57=$V$15,"1"))*G57,"")</f>
        <v/>
      </c>
      <c r="J57" s="212"/>
      <c r="K57" s="1124" t="str">
        <f>IFERROR(VLOOKUP($B57&amp;"|"&amp;C57,'Carbon factors'!$BY$7:$BZ$44,2,0),"")</f>
        <v/>
      </c>
      <c r="L57" s="691" t="str">
        <f t="shared" si="0"/>
        <v/>
      </c>
      <c r="M57" s="181" t="str">
        <f t="shared" si="1"/>
        <v>Scope 1</v>
      </c>
      <c r="O57" s="1297" t="str">
        <f>IF($D57="N",($G57*(VLOOKUP($B57&amp;"|"&amp;C57,'Carbon factors'!$BY$7:$CC$44,3,0))), IF($D57="Y", "0", ""))</f>
        <v/>
      </c>
      <c r="P57" s="183" t="str">
        <f>IF($D57="N",($G57*(VLOOKUP($B57&amp;"|"&amp;$C57,'Carbon factors'!$BY$7:$CC$44,4,0))), IF($D57="Y", "0", ""))</f>
        <v/>
      </c>
      <c r="Q57" s="1296" t="str">
        <f>IF($D57="N",($G57*(VLOOKUP($B57&amp;"|"&amp;$C57,'Carbon factors'!$BY$7:$CC$44,5,0))), IF($D57="Y", "0", ""))</f>
        <v/>
      </c>
    </row>
    <row r="58" spans="1:17" x14ac:dyDescent="0.35">
      <c r="A58" s="898"/>
      <c r="B58" s="579"/>
      <c r="C58" s="579"/>
      <c r="D58" s="579"/>
      <c r="E58" s="186"/>
      <c r="F58" s="579" t="s">
        <v>473</v>
      </c>
      <c r="G58" s="577"/>
      <c r="H58" s="186"/>
      <c r="I58" s="501" t="str" cm="1">
        <f t="array" ref="I58">IFERROR((_xlfn.IFS(H58=$V$13,"2",H58=$V$14,"1",H58=$V$15,"1"))*G58,"")</f>
        <v/>
      </c>
      <c r="J58" s="212"/>
      <c r="K58" s="1124" t="str">
        <f>IFERROR(VLOOKUP($B58&amp;"|"&amp;C58,'Carbon factors'!$BY$7:$BZ$44,2,0),"")</f>
        <v/>
      </c>
      <c r="L58" s="691" t="str">
        <f t="shared" si="0"/>
        <v/>
      </c>
      <c r="M58" s="181" t="str">
        <f t="shared" si="1"/>
        <v>Scope 1</v>
      </c>
      <c r="O58" s="1297" t="str">
        <f>IF($D58="N",($G58*(VLOOKUP($B58&amp;"|"&amp;C58,'Carbon factors'!$BY$7:$CC$44,3,0))), IF($D58="Y", "0", ""))</f>
        <v/>
      </c>
      <c r="P58" s="183" t="str">
        <f>IF($D58="N",($G58*(VLOOKUP($B58&amp;"|"&amp;$C58,'Carbon factors'!$BY$7:$CC$44,4,0))), IF($D58="Y", "0", ""))</f>
        <v/>
      </c>
      <c r="Q58" s="1296" t="str">
        <f>IF($D58="N",($G58*(VLOOKUP($B58&amp;"|"&amp;$C58,'Carbon factors'!$BY$7:$CC$44,5,0))), IF($D58="Y", "0", ""))</f>
        <v/>
      </c>
    </row>
    <row r="59" spans="1:17" x14ac:dyDescent="0.35">
      <c r="A59" s="898"/>
      <c r="B59" s="579"/>
      <c r="C59" s="579"/>
      <c r="D59" s="579"/>
      <c r="E59" s="186"/>
      <c r="F59" s="579" t="s">
        <v>473</v>
      </c>
      <c r="G59" s="577"/>
      <c r="H59" s="186"/>
      <c r="I59" s="501" t="str" cm="1">
        <f t="array" ref="I59">IFERROR((_xlfn.IFS(H59=$V$13,"2",H59=$V$14,"1",H59=$V$15,"1"))*G59,"")</f>
        <v/>
      </c>
      <c r="J59" s="212"/>
      <c r="K59" s="1124" t="str">
        <f>IFERROR(VLOOKUP($B59&amp;"|"&amp;C59,'Carbon factors'!$BY$7:$BZ$44,2,0),"")</f>
        <v/>
      </c>
      <c r="L59" s="691" t="str">
        <f t="shared" si="0"/>
        <v/>
      </c>
      <c r="M59" s="181" t="str">
        <f t="shared" si="1"/>
        <v>Scope 1</v>
      </c>
      <c r="O59" s="1297" t="str">
        <f>IF($D59="N",($G59*(VLOOKUP($B59&amp;"|"&amp;C59,'Carbon factors'!$BY$7:$CC$44,3,0))), IF($D59="Y", "0", ""))</f>
        <v/>
      </c>
      <c r="P59" s="183" t="str">
        <f>IF($D59="N",($G59*(VLOOKUP($B59&amp;"|"&amp;$C59,'Carbon factors'!$BY$7:$CC$44,4,0))), IF($D59="Y", "0", ""))</f>
        <v/>
      </c>
      <c r="Q59" s="1296" t="str">
        <f>IF($D59="N",($G59*(VLOOKUP($B59&amp;"|"&amp;$C59,'Carbon factors'!$BY$7:$CC$44,5,0))), IF($D59="Y", "0", ""))</f>
        <v/>
      </c>
    </row>
    <row r="60" spans="1:17" x14ac:dyDescent="0.35">
      <c r="A60" s="898"/>
      <c r="B60" s="579"/>
      <c r="C60" s="579"/>
      <c r="D60" s="579"/>
      <c r="E60" s="186"/>
      <c r="F60" s="579" t="s">
        <v>473</v>
      </c>
      <c r="G60" s="577"/>
      <c r="H60" s="186"/>
      <c r="I60" s="501" t="str" cm="1">
        <f t="array" ref="I60">IFERROR((_xlfn.IFS(H60=$V$13,"2",H60=$V$14,"1",H60=$V$15,"1"))*G60,"")</f>
        <v/>
      </c>
      <c r="J60" s="212"/>
      <c r="K60" s="1124" t="str">
        <f>IFERROR(VLOOKUP($B60&amp;"|"&amp;C60,'Carbon factors'!$BY$7:$BZ$44,2,0),"")</f>
        <v/>
      </c>
      <c r="L60" s="691" t="str">
        <f t="shared" si="0"/>
        <v/>
      </c>
      <c r="M60" s="181" t="str">
        <f t="shared" si="1"/>
        <v>Scope 1</v>
      </c>
      <c r="O60" s="1297" t="str">
        <f>IF($D60="N",($G60*(VLOOKUP($B60&amp;"|"&amp;C60,'Carbon factors'!$BY$7:$CC$44,3,0))), IF($D60="Y", "0", ""))</f>
        <v/>
      </c>
      <c r="P60" s="183" t="str">
        <f>IF($D60="N",($G60*(VLOOKUP($B60&amp;"|"&amp;$C60,'Carbon factors'!$BY$7:$CC$44,4,0))), IF($D60="Y", "0", ""))</f>
        <v/>
      </c>
      <c r="Q60" s="1296" t="str">
        <f>IF($D60="N",($G60*(VLOOKUP($B60&amp;"|"&amp;$C60,'Carbon factors'!$BY$7:$CC$44,5,0))), IF($D60="Y", "0", ""))</f>
        <v/>
      </c>
    </row>
    <row r="61" spans="1:17" ht="15" thickBot="1" x14ac:dyDescent="0.4">
      <c r="A61" s="583"/>
      <c r="B61" s="580"/>
      <c r="C61" s="580"/>
      <c r="D61" s="580"/>
      <c r="E61" s="188"/>
      <c r="F61" s="579" t="s">
        <v>473</v>
      </c>
      <c r="G61" s="575"/>
      <c r="H61" s="188"/>
      <c r="I61" s="502" t="str" cm="1">
        <f t="array" ref="I61">IFERROR((_xlfn.IFS(H61=$V$13,"2",H61=$V$14,"1",H61=$V$15,"1"))*G61,"")</f>
        <v/>
      </c>
      <c r="J61" s="213"/>
      <c r="K61" s="1125" t="str">
        <f>IFERROR(VLOOKUP($B61&amp;"|"&amp;C61,'Carbon factors'!$BY$7:$BZ$44,2,0),"")</f>
        <v/>
      </c>
      <c r="L61" s="692" t="str">
        <f t="shared" si="0"/>
        <v/>
      </c>
      <c r="M61" s="185" t="str">
        <f t="shared" si="1"/>
        <v>Scope 1</v>
      </c>
      <c r="O61" s="1455" t="str">
        <f>IF($D61="N",($G61*(VLOOKUP($B61&amp;"|"&amp;C61,'Carbon factors'!$BY$7:$CC$44,3,0))), IF($D61="Y", "0", ""))</f>
        <v/>
      </c>
      <c r="P61" s="184" t="str">
        <f>IF($D61="N",($G61*(VLOOKUP($B61&amp;"|"&amp;$C61,'Carbon factors'!$BY$7:$CC$44,4,0))), IF($D61="Y", "0", ""))</f>
        <v/>
      </c>
      <c r="Q61" s="1456" t="str">
        <f>IF($D61="N",($G61*(VLOOKUP($B61&amp;"|"&amp;$C61,'Carbon factors'!$BY$7:$CC$44,5,0))), IF($D61="Y", "0", ""))</f>
        <v/>
      </c>
    </row>
  </sheetData>
  <sheetProtection algorithmName="SHA-512" hashValue="JaNSGoIsPhoPcdRx+SvTi9xt9l6CmAfUz2h+757gmmqYC+08b7j5+oE6qFORb9+9NPukM33tkCmE//o2UK5o/g==" saltValue="2QlK+/UvClZtIMkvWzDhfQ==" spinCount="100000" sheet="1" objects="1" scenarios="1"/>
  <protectedRanges>
    <protectedRange sqref="J14:J61 A14:E61 J10 I3 G14:H61" name="Range2"/>
  </protectedRanges>
  <mergeCells count="17">
    <mergeCell ref="K9:M9"/>
    <mergeCell ref="K8:M8"/>
    <mergeCell ref="K7:M7"/>
    <mergeCell ref="I3:M5"/>
    <mergeCell ref="A2:B2"/>
    <mergeCell ref="S11:V11"/>
    <mergeCell ref="A3:E3"/>
    <mergeCell ref="H3:H5"/>
    <mergeCell ref="A4:E4"/>
    <mergeCell ref="A5:E5"/>
    <mergeCell ref="H7:I9"/>
    <mergeCell ref="A9:A10"/>
    <mergeCell ref="B9:B10"/>
    <mergeCell ref="C9:C10"/>
    <mergeCell ref="D9:E10"/>
    <mergeCell ref="D7:E8"/>
    <mergeCell ref="H10:I10"/>
  </mergeCells>
  <conditionalFormatting sqref="K14:K61">
    <cfRule type="cellIs" dxfId="55" priority="2" operator="equal">
      <formula>"Select Petrol"</formula>
    </cfRule>
    <cfRule type="cellIs" dxfId="54" priority="3" operator="equal">
      <formula>"Select Diesel"</formula>
    </cfRule>
  </conditionalFormatting>
  <conditionalFormatting sqref="L14:L61">
    <cfRule type="colorScale" priority="1">
      <colorScale>
        <cfvo type="min"/>
        <cfvo type="percentile" val="50"/>
        <cfvo type="max"/>
        <color rgb="FF00B050"/>
        <color rgb="FFFFEB84"/>
        <color rgb="FFFF0000"/>
      </colorScale>
    </cfRule>
  </conditionalFormatting>
  <dataValidations count="5">
    <dataValidation type="list" allowBlank="1" showInputMessage="1" showErrorMessage="1" sqref="D14:D61 F14:F61" xr:uid="{19A80E78-4439-46F3-82F0-0C26760F8FAA}">
      <formula1>$S$13:$S$14</formula1>
    </dataValidation>
    <dataValidation type="list" allowBlank="1" showInputMessage="1" showErrorMessage="1" sqref="C14:C61" xr:uid="{B558BC11-A4AB-4308-A35B-85AB0CC8D978}">
      <formula1>$T$13:$T$14</formula1>
    </dataValidation>
    <dataValidation type="list" allowBlank="1" showInputMessage="1" showErrorMessage="1" sqref="H14:H61" xr:uid="{3271372A-615B-4C19-A233-34285B8CDA34}">
      <formula1>$V$13:$V$15</formula1>
    </dataValidation>
    <dataValidation type="list" allowBlank="1" showInputMessage="1" showErrorMessage="1" sqref="B14:B61" xr:uid="{05D08DA6-F1D6-4A76-95A2-8AC2A6093105}">
      <formula1>$U$13:$U$31</formula1>
    </dataValidation>
    <dataValidation type="decimal" allowBlank="1" showInputMessage="1" showErrorMessage="1" errorTitle="Number only" error="Enter a number only" sqref="G14:G61" xr:uid="{4FED0F86-902E-4DDB-8251-EE21CF06D3B7}">
      <formula1>0</formula1>
      <formula2>10000000000</formula2>
    </dataValidation>
  </dataValidations>
  <pageMargins left="0.7" right="0.7" top="0.75" bottom="0.75" header="0.3" footer="0.3"/>
  <pageSetup paperSize="9" orientation="portrait" horizontalDpi="360" verticalDpi="360" r:id="rId1"/>
  <extLst>
    <ext xmlns:x14="http://schemas.microsoft.com/office/spreadsheetml/2009/9/main" uri="{CCE6A557-97BC-4b89-ADB6-D9C93CAAB3DF}">
      <x14:dataValidations xmlns:xm="http://schemas.microsoft.com/office/excel/2006/main" count="1">
        <x14:dataValidation type="list" allowBlank="1" showInputMessage="1" showErrorMessage="1" xr:uid="{F056A960-0CFC-4CB2-8565-189DCE3DA4ED}">
          <x14:formula1>
            <xm:f>Buildings!$B$9:$B$41</xm:f>
          </x14:formula1>
          <xm:sqref>A14:A61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F7C38-C61C-4EC4-A592-125729FDAD1A}">
  <sheetPr codeName="Sheet9">
    <tabColor rgb="FF00B050"/>
  </sheetPr>
  <dimension ref="A1:T59"/>
  <sheetViews>
    <sheetView topLeftCell="A9" zoomScale="98" zoomScaleNormal="85" workbookViewId="0">
      <selection activeCell="B13" sqref="B13"/>
    </sheetView>
  </sheetViews>
  <sheetFormatPr defaultColWidth="17.26953125" defaultRowHeight="14.5" x14ac:dyDescent="0.35"/>
  <cols>
    <col min="1" max="1" width="35.1796875" customWidth="1"/>
    <col min="2" max="2" width="40.7265625" customWidth="1"/>
    <col min="3" max="3" width="23.54296875" customWidth="1"/>
    <col min="4" max="4" width="27.453125" customWidth="1"/>
    <col min="5" max="5" width="24.26953125" customWidth="1"/>
    <col min="6" max="6" width="22.81640625" customWidth="1"/>
    <col min="7" max="7" width="27.81640625" style="668" customWidth="1"/>
    <col min="8" max="8" width="23.453125" customWidth="1"/>
    <col min="9" max="9" width="35.453125" customWidth="1"/>
    <col min="10" max="10" width="22.81640625" style="668" customWidth="1"/>
    <col min="12" max="12" width="18.1796875" bestFit="1" customWidth="1"/>
    <col min="13" max="13" width="21" customWidth="1"/>
    <col min="14" max="14" width="13.453125" style="706" bestFit="1" customWidth="1"/>
    <col min="15" max="16" width="13.26953125" style="706" bestFit="1" customWidth="1"/>
    <col min="17" max="17" width="32.26953125" customWidth="1"/>
    <col min="18" max="18" width="15" hidden="1" customWidth="1"/>
    <col min="19" max="19" width="37.453125" hidden="1" customWidth="1"/>
    <col min="20" max="20" width="40.7265625" hidden="1" customWidth="1"/>
    <col min="21" max="21" width="30.7265625" bestFit="1" customWidth="1"/>
  </cols>
  <sheetData>
    <row r="1" spans="1:20" s="1416" customFormat="1" ht="47.25" customHeight="1" thickBot="1" x14ac:dyDescent="0.4">
      <c r="A1" s="1857" t="s">
        <v>415</v>
      </c>
      <c r="B1" s="1858"/>
      <c r="C1" s="1873" t="s">
        <v>735</v>
      </c>
      <c r="D1" s="1873"/>
      <c r="E1" s="1873"/>
      <c r="G1" s="1417"/>
      <c r="J1" s="1417"/>
      <c r="N1" s="1468"/>
      <c r="O1" s="1468"/>
      <c r="P1" s="1468"/>
    </row>
    <row r="2" spans="1:20" ht="50.25" customHeight="1" thickBot="1" x14ac:dyDescent="0.4">
      <c r="A2" s="1815" t="s">
        <v>736</v>
      </c>
      <c r="B2" s="1816"/>
      <c r="C2" s="1819"/>
      <c r="D2" s="1819"/>
      <c r="E2" s="1820"/>
      <c r="F2" s="320"/>
      <c r="G2" s="964" t="s">
        <v>737</v>
      </c>
      <c r="H2" s="4"/>
      <c r="I2" s="1859" t="s">
        <v>309</v>
      </c>
      <c r="J2" s="1768" t="s">
        <v>509</v>
      </c>
      <c r="K2" s="1769"/>
      <c r="L2" s="1770"/>
      <c r="M2" s="801"/>
      <c r="O2" s="1469"/>
      <c r="R2" s="246"/>
      <c r="S2" s="246"/>
    </row>
    <row r="3" spans="1:20" ht="18.75" customHeight="1" x14ac:dyDescent="0.35">
      <c r="A3" s="1818" t="s">
        <v>738</v>
      </c>
      <c r="B3" s="1819"/>
      <c r="C3" s="1819"/>
      <c r="D3" s="1819"/>
      <c r="E3" s="1820"/>
      <c r="F3" s="320"/>
      <c r="G3" s="1871" t="s">
        <v>739</v>
      </c>
      <c r="H3" s="4"/>
      <c r="I3" s="1860"/>
      <c r="J3" s="1771"/>
      <c r="K3" s="1772"/>
      <c r="L3" s="1773"/>
      <c r="M3" s="801"/>
      <c r="O3" s="1469"/>
      <c r="R3" s="246"/>
      <c r="S3" s="246"/>
    </row>
    <row r="4" spans="1:20" ht="54.75" customHeight="1" thickBot="1" x14ac:dyDescent="0.4">
      <c r="A4" s="1821" t="s">
        <v>740</v>
      </c>
      <c r="B4" s="1822"/>
      <c r="C4" s="1822"/>
      <c r="D4" s="1822"/>
      <c r="E4" s="1823"/>
      <c r="F4" s="320"/>
      <c r="G4" s="1872"/>
      <c r="H4" s="4"/>
      <c r="I4" s="1861"/>
      <c r="J4" s="1774"/>
      <c r="K4" s="1775"/>
      <c r="L4" s="1776"/>
      <c r="M4" s="801"/>
      <c r="O4" s="1469"/>
      <c r="R4" s="246"/>
      <c r="S4" s="246"/>
    </row>
    <row r="5" spans="1:20" ht="15" thickBot="1" x14ac:dyDescent="0.4">
      <c r="G5"/>
      <c r="I5" s="668"/>
      <c r="J5"/>
      <c r="L5" s="668"/>
    </row>
    <row r="6" spans="1:20" ht="39" customHeight="1" thickBot="1" x14ac:dyDescent="0.4">
      <c r="B6" s="321"/>
      <c r="G6"/>
      <c r="I6" s="682" t="s">
        <v>700</v>
      </c>
      <c r="J6" s="1862" t="s">
        <v>701</v>
      </c>
      <c r="K6" s="1863"/>
      <c r="L6" s="1864"/>
      <c r="M6" s="2"/>
    </row>
    <row r="7" spans="1:20" ht="35.25" customHeight="1" thickBot="1" x14ac:dyDescent="0.4">
      <c r="A7" s="445" t="s">
        <v>206</v>
      </c>
      <c r="B7" s="443">
        <f>SUMIF(L12:L59, "Scope 3",K12:K59)/1000</f>
        <v>0</v>
      </c>
      <c r="C7" s="441" t="s">
        <v>316</v>
      </c>
      <c r="D7" s="1682" t="s">
        <v>741</v>
      </c>
      <c r="E7" s="1684"/>
      <c r="F7" s="320"/>
      <c r="G7" s="320"/>
      <c r="I7" s="683" t="s">
        <v>702</v>
      </c>
      <c r="J7" s="1865" t="s">
        <v>742</v>
      </c>
      <c r="K7" s="1866"/>
      <c r="L7" s="1867"/>
      <c r="M7" s="2"/>
      <c r="N7" s="1465" t="s">
        <v>644</v>
      </c>
      <c r="O7" s="1466" t="s">
        <v>645</v>
      </c>
      <c r="P7" s="1467" t="s">
        <v>646</v>
      </c>
    </row>
    <row r="8" spans="1:20" ht="60.75" customHeight="1" thickBot="1" x14ac:dyDescent="0.4">
      <c r="A8" s="465" t="s">
        <v>516</v>
      </c>
      <c r="B8" s="444">
        <f>IFERROR((SUM(H12:H59))/(SUM(E12:E59)*3),"")</f>
        <v>1</v>
      </c>
      <c r="C8" s="445" t="s">
        <v>517</v>
      </c>
      <c r="D8" s="1828" t="s">
        <v>647</v>
      </c>
      <c r="E8" s="1830"/>
      <c r="F8" s="394"/>
      <c r="G8" s="394"/>
      <c r="H8" s="417"/>
      <c r="I8" s="684" t="s">
        <v>705</v>
      </c>
      <c r="J8" s="1868" t="s">
        <v>706</v>
      </c>
      <c r="K8" s="1869"/>
      <c r="L8" s="1870"/>
      <c r="M8" s="2"/>
      <c r="N8" s="1444">
        <f>SUM(N12:N59)</f>
        <v>0</v>
      </c>
      <c r="O8" s="1445">
        <f>SUM(O12:O59)</f>
        <v>0</v>
      </c>
      <c r="P8" s="1446">
        <f>SUM(P12:P59)</f>
        <v>0</v>
      </c>
    </row>
    <row r="9" spans="1:20" ht="15" thickBot="1" x14ac:dyDescent="0.4">
      <c r="R9" s="1854" t="s">
        <v>325</v>
      </c>
      <c r="S9" s="1855"/>
      <c r="T9" s="1856"/>
    </row>
    <row r="10" spans="1:20" s="4" customFormat="1" ht="29.5" thickBot="1" x14ac:dyDescent="0.4">
      <c r="A10" s="171" t="s">
        <v>743</v>
      </c>
      <c r="B10" s="171" t="s">
        <v>744</v>
      </c>
      <c r="C10" s="171" t="s">
        <v>745</v>
      </c>
      <c r="D10" s="171" t="s">
        <v>746</v>
      </c>
      <c r="E10" s="171" t="s">
        <v>747</v>
      </c>
      <c r="F10" s="171" t="s">
        <v>748</v>
      </c>
      <c r="G10" s="171" t="s">
        <v>535</v>
      </c>
      <c r="H10" s="661" t="s">
        <v>536</v>
      </c>
      <c r="I10" s="247" t="s">
        <v>619</v>
      </c>
      <c r="J10" s="233" t="s">
        <v>542</v>
      </c>
      <c r="K10" s="661" t="s">
        <v>543</v>
      </c>
      <c r="L10" s="234" t="s">
        <v>544</v>
      </c>
      <c r="N10" s="1470" t="s">
        <v>178</v>
      </c>
      <c r="O10" s="1471" t="s">
        <v>179</v>
      </c>
      <c r="P10" s="1472" t="s">
        <v>180</v>
      </c>
      <c r="R10" s="1292" t="s">
        <v>533</v>
      </c>
      <c r="S10" s="1293" t="s">
        <v>658</v>
      </c>
      <c r="T10" s="1294" t="s">
        <v>659</v>
      </c>
    </row>
    <row r="11" spans="1:20" ht="103.5" customHeight="1" thickBot="1" x14ac:dyDescent="0.4">
      <c r="A11" s="190" t="s">
        <v>329</v>
      </c>
      <c r="B11" s="190" t="s">
        <v>329</v>
      </c>
      <c r="C11" s="190" t="s">
        <v>467</v>
      </c>
      <c r="D11" s="190" t="s">
        <v>749</v>
      </c>
      <c r="E11" s="190" t="s">
        <v>750</v>
      </c>
      <c r="F11" s="190" t="s">
        <v>751</v>
      </c>
      <c r="G11" s="190" t="s">
        <v>329</v>
      </c>
      <c r="H11" s="665"/>
      <c r="I11" s="248" t="s">
        <v>752</v>
      </c>
      <c r="J11" s="178" t="s">
        <v>614</v>
      </c>
      <c r="K11" s="662" t="s">
        <v>560</v>
      </c>
      <c r="L11" s="383" t="s">
        <v>561</v>
      </c>
      <c r="N11" s="1473" t="s">
        <v>202</v>
      </c>
      <c r="O11" s="1474" t="s">
        <v>202</v>
      </c>
      <c r="P11" s="1475" t="s">
        <v>202</v>
      </c>
      <c r="R11" s="549" t="s">
        <v>753</v>
      </c>
      <c r="S11" s="282" t="s">
        <v>754</v>
      </c>
      <c r="T11" s="956" t="s">
        <v>755</v>
      </c>
    </row>
    <row r="12" spans="1:20" ht="29" x14ac:dyDescent="0.35">
      <c r="A12" s="1330" t="s">
        <v>2593</v>
      </c>
      <c r="B12" s="578" t="s">
        <v>771</v>
      </c>
      <c r="C12" s="578">
        <v>6</v>
      </c>
      <c r="D12" s="576" t="s">
        <v>751</v>
      </c>
      <c r="E12" s="1331">
        <v>36316</v>
      </c>
      <c r="F12" s="937">
        <f>IF(D12="passenger.km",(E12*C12),"")</f>
        <v>217896</v>
      </c>
      <c r="G12" s="197" t="s">
        <v>755</v>
      </c>
      <c r="H12" s="500" cm="1">
        <f t="array" ref="H12">IFERROR((_xlfn.IFS(G12=$T$11,"3",G12=$T$12,"2",G12=$T$13,"1",G12=$T$14,"1"))*E12,"")</f>
        <v>108948</v>
      </c>
      <c r="I12" s="209"/>
      <c r="J12" s="1106" t="str">
        <f>IFERROR(VLOOKUP($B12&amp;"|"&amp;$D12,'Carbon factors'!$AR$7:$AS$87,2,0),"")</f>
        <v>Use miles or km</v>
      </c>
      <c r="K12" s="500" t="str">
        <f t="shared" ref="K12:K59" si="0">IFERROR(IF(D12="passenger.km",J12*C12*E12,E12*J12),"")</f>
        <v/>
      </c>
      <c r="L12" s="205" t="s">
        <v>192</v>
      </c>
      <c r="N12" s="1476" t="str">
        <f>IFERROR((IF($D12="passenger.km",((VLOOKUP($B12&amp;"|"&amp;$D12,'Carbon factors'!$AR$7:$AU$87,3,0))*$C12*$E12),($E12*(VLOOKUP($B12&amp;"|"&amp;$D12,'Carbon factors'!$AR$7:$AU$87,3,0))))),"")</f>
        <v/>
      </c>
      <c r="O12" s="440" t="str">
        <f>IFERROR(IF($D12="passenger.km",((VLOOKUP($B12&amp;"|"&amp;$D12,'Carbon factors'!$AR$7:$AU$87,4,0))*$C12*$E12),($E12*(VLOOKUP($B12&amp;"|"&amp;$D12,'Carbon factors'!$AR$7:$AU$87,4,0)))),"")</f>
        <v/>
      </c>
      <c r="P12" s="1477" t="str">
        <f>IFERROR(IF($D12="passenger.km",((VLOOKUP($B12&amp;"|"&amp;$D12,'Carbon factors'!$AR$7:$AV$87,5,0))*$C12*$E12),($E12*(VLOOKUP($B12&amp;"|"&amp;$D12,'Carbon factors'!$AR$7:$AV$87,5,0)))),"")</f>
        <v/>
      </c>
      <c r="R12" s="261" t="s">
        <v>197</v>
      </c>
      <c r="S12" s="159" t="s">
        <v>756</v>
      </c>
      <c r="T12" s="262" t="s">
        <v>757</v>
      </c>
    </row>
    <row r="13" spans="1:20" x14ac:dyDescent="0.35">
      <c r="A13" s="1330"/>
      <c r="B13" s="579"/>
      <c r="C13" s="579"/>
      <c r="D13" s="577"/>
      <c r="E13" s="577"/>
      <c r="F13" s="938" t="str">
        <f t="shared" ref="F13:F59" si="1">IF(D13="passenger.km",(E13*C13),"")</f>
        <v/>
      </c>
      <c r="G13" s="186"/>
      <c r="H13" s="501" t="str" cm="1">
        <f t="array" ref="H13">IFERROR((_xlfn.IFS(G13=$T$11,"3",G13=$T$12,"2",G13=$T$13,"1",G13=$T$14,"1"))*E13,"")</f>
        <v/>
      </c>
      <c r="I13" s="212"/>
      <c r="J13" s="1121" t="str">
        <f>IFERROR(VLOOKUP($B13&amp;"|"&amp;$D13,'Carbon factors'!$AR$7:$AS$87,2,0),"")</f>
        <v/>
      </c>
      <c r="K13" s="501" t="str">
        <f t="shared" si="0"/>
        <v/>
      </c>
      <c r="L13" s="181" t="s">
        <v>192</v>
      </c>
      <c r="N13" s="1297" t="str">
        <f>IFERROR((IF($D13="passenger.km",((VLOOKUP($B13&amp;"|"&amp;$D13,'Carbon factors'!$AR$7:$AU$87,3,0))*$C13*$E13),($E13*(VLOOKUP($B13&amp;"|"&amp;$D13,'Carbon factors'!$AR$7:$AU$87,3,0))))),"")</f>
        <v/>
      </c>
      <c r="O13" s="183" t="str">
        <f>IFERROR(IF($D13="passenger.km",((VLOOKUP($B13&amp;"|"&amp;$D13,'Carbon factors'!$AR$7:$AU$87,4,0))*$C13*$E13),($E13*(VLOOKUP($B13&amp;"|"&amp;$D13,'Carbon factors'!$AR$7:$AU$87,4,0)))),"")</f>
        <v/>
      </c>
      <c r="P13" s="1296" t="str">
        <f>IFERROR(IF($D13="passenger.km",((VLOOKUP($B13&amp;"|"&amp;$D13,'Carbon factors'!$AR$7:$AV$87,5,0))*$C13*$E13),($E13*(VLOOKUP($B13&amp;"|"&amp;$D13,'Carbon factors'!$AR$7:$AV$87,5,0)))),"")</f>
        <v/>
      </c>
      <c r="R13" s="261" t="s">
        <v>751</v>
      </c>
      <c r="S13" s="159" t="s">
        <v>758</v>
      </c>
      <c r="T13" s="262" t="s">
        <v>680</v>
      </c>
    </row>
    <row r="14" spans="1:20" x14ac:dyDescent="0.35">
      <c r="A14" s="1330"/>
      <c r="B14" s="579"/>
      <c r="C14" s="579"/>
      <c r="D14" s="577"/>
      <c r="E14" s="577"/>
      <c r="F14" s="938" t="str">
        <f t="shared" si="1"/>
        <v/>
      </c>
      <c r="G14" s="186"/>
      <c r="H14" s="501" t="str" cm="1">
        <f t="array" ref="H14">IFERROR((_xlfn.IFS(G14=$T$11,"3",G14=$T$12,"2",G14=$T$13,"1",G14=$T$14,"1"))*E14,"")</f>
        <v/>
      </c>
      <c r="I14" s="212"/>
      <c r="J14" s="1121" t="str">
        <f>IFERROR(VLOOKUP($B14&amp;"|"&amp;$D14,'Carbon factors'!$AR$7:$AS$87,2,0),"")</f>
        <v/>
      </c>
      <c r="K14" s="501" t="str">
        <f t="shared" si="0"/>
        <v/>
      </c>
      <c r="L14" s="181" t="s">
        <v>192</v>
      </c>
      <c r="N14" s="1297" t="str">
        <f>IFERROR((IF($D14="passenger.km",((VLOOKUP($B14&amp;"|"&amp;$D14,'Carbon factors'!$AR$7:$AU$87,3,0))*$C14*$E14),($E14*(VLOOKUP($B14&amp;"|"&amp;$D14,'Carbon factors'!$AR$7:$AU$87,3,0))))),"")</f>
        <v/>
      </c>
      <c r="O14" s="183" t="str">
        <f>IFERROR(IF($D14="passenger.km",((VLOOKUP($B14&amp;"|"&amp;$D14,'Carbon factors'!$AR$7:$AU$87,4,0))*$C14*$E14),($E14*(VLOOKUP($B14&amp;"|"&amp;$D14,'Carbon factors'!$AR$7:$AU$87,4,0)))),"")</f>
        <v/>
      </c>
      <c r="P14" s="1296" t="str">
        <f>IFERROR(IF($D14="passenger.km",((VLOOKUP($B14&amp;"|"&amp;$D14,'Carbon factors'!$AR$7:$AV$87,5,0))*$C14*$E14),($E14*(VLOOKUP($B14&amp;"|"&amp;$D14,'Carbon factors'!$AR$7:$AV$87,5,0)))),"")</f>
        <v/>
      </c>
      <c r="R14" s="263"/>
      <c r="S14" s="159" t="s">
        <v>759</v>
      </c>
      <c r="T14" s="262" t="s">
        <v>677</v>
      </c>
    </row>
    <row r="15" spans="1:20" x14ac:dyDescent="0.35">
      <c r="A15" s="1330"/>
      <c r="B15" s="579"/>
      <c r="C15" s="579"/>
      <c r="D15" s="577"/>
      <c r="E15" s="577"/>
      <c r="F15" s="938" t="str">
        <f t="shared" si="1"/>
        <v/>
      </c>
      <c r="G15" s="186"/>
      <c r="H15" s="501" t="str" cm="1">
        <f t="array" ref="H15">IFERROR((_xlfn.IFS(G15=$T$11,"3",G15=$T$12,"2",G15=$T$13,"1",G15=$T$14,"1"))*E15,"")</f>
        <v/>
      </c>
      <c r="I15" s="212"/>
      <c r="J15" s="1121" t="str">
        <f>IFERROR(VLOOKUP($B15&amp;"|"&amp;$D15,'Carbon factors'!$AR$7:$AS$87,2,0),"")</f>
        <v/>
      </c>
      <c r="K15" s="501" t="str">
        <f t="shared" si="0"/>
        <v/>
      </c>
      <c r="L15" s="181" t="s">
        <v>192</v>
      </c>
      <c r="N15" s="1297" t="str">
        <f>IFERROR((IF($D15="passenger.km",((VLOOKUP($B15&amp;"|"&amp;$D15,'Carbon factors'!$AR$7:$AU$87,3,0))*$C15*$E15),($E15*(VLOOKUP($B15&amp;"|"&amp;$D15,'Carbon factors'!$AR$7:$AU$87,3,0))))),"")</f>
        <v/>
      </c>
      <c r="O15" s="183" t="str">
        <f>IFERROR(IF($D15="passenger.km",((VLOOKUP($B15&amp;"|"&amp;$D15,'Carbon factors'!$AR$7:$AU$87,4,0))*$C15*$E15),($E15*(VLOOKUP($B15&amp;"|"&amp;$D15,'Carbon factors'!$AR$7:$AU$87,4,0)))),"")</f>
        <v/>
      </c>
      <c r="P15" s="1296" t="str">
        <f>IFERROR(IF($D15="passenger.km",((VLOOKUP($B15&amp;"|"&amp;$D15,'Carbon factors'!$AR$7:$AV$87,5,0))*$C15*$E15),($E15*(VLOOKUP($B15&amp;"|"&amp;$D15,'Carbon factors'!$AR$7:$AV$87,5,0)))),"")</f>
        <v/>
      </c>
      <c r="R15" s="263"/>
      <c r="S15" s="159" t="s">
        <v>760</v>
      </c>
      <c r="T15" s="262"/>
    </row>
    <row r="16" spans="1:20" x14ac:dyDescent="0.35">
      <c r="A16" s="1330"/>
      <c r="B16" s="579"/>
      <c r="C16" s="579"/>
      <c r="D16" s="577"/>
      <c r="E16" s="577"/>
      <c r="F16" s="938" t="str">
        <f t="shared" si="1"/>
        <v/>
      </c>
      <c r="G16" s="186"/>
      <c r="H16" s="501" t="str" cm="1">
        <f t="array" ref="H16">IFERROR((_xlfn.IFS(G16=$T$11,"3",G16=$T$12,"2",G16=$T$13,"1",G16=$T$14,"1"))*E16,"")</f>
        <v/>
      </c>
      <c r="I16" s="212"/>
      <c r="J16" s="1121" t="str">
        <f>IFERROR(VLOOKUP($B16&amp;"|"&amp;$D16,'Carbon factors'!$AR$7:$AS$87,2,0),"")</f>
        <v/>
      </c>
      <c r="K16" s="501" t="str">
        <f t="shared" si="0"/>
        <v/>
      </c>
      <c r="L16" s="181" t="s">
        <v>192</v>
      </c>
      <c r="N16" s="1297" t="str">
        <f>IFERROR((IF($D16="passenger.km",((VLOOKUP($B16&amp;"|"&amp;$D16,'Carbon factors'!$AR$7:$AU$87,3,0))*$C16*$E16),($E16*(VLOOKUP($B16&amp;"|"&amp;$D16,'Carbon factors'!$AR$7:$AU$87,3,0))))),"")</f>
        <v/>
      </c>
      <c r="O16" s="183" t="str">
        <f>IFERROR(IF($D16="passenger.km",((VLOOKUP($B16&amp;"|"&amp;$D16,'Carbon factors'!$AR$7:$AU$87,4,0))*$C16*$E16),($E16*(VLOOKUP($B16&amp;"|"&amp;$D16,'Carbon factors'!$AR$7:$AU$87,4,0)))),"")</f>
        <v/>
      </c>
      <c r="P16" s="1296" t="str">
        <f>IFERROR(IF($D16="passenger.km",((VLOOKUP($B16&amp;"|"&amp;$D16,'Carbon factors'!$AR$7:$AV$87,5,0))*$C16*$E16),($E16*(VLOOKUP($B16&amp;"|"&amp;$D16,'Carbon factors'!$AR$7:$AV$87,5,0)))),"")</f>
        <v/>
      </c>
      <c r="R16" s="235"/>
      <c r="S16" s="159" t="s">
        <v>761</v>
      </c>
      <c r="T16" s="262"/>
    </row>
    <row r="17" spans="1:20" x14ac:dyDescent="0.35">
      <c r="A17" s="1330"/>
      <c r="B17" s="579"/>
      <c r="C17" s="579"/>
      <c r="D17" s="577"/>
      <c r="E17" s="577"/>
      <c r="F17" s="938" t="str">
        <f t="shared" si="1"/>
        <v/>
      </c>
      <c r="G17" s="186"/>
      <c r="H17" s="501" t="str" cm="1">
        <f t="array" ref="H17">IFERROR((_xlfn.IFS(G17=$T$11,"3",G17=$T$12,"2",G17=$T$13,"1",G17=$T$14,"1"))*E17,"")</f>
        <v/>
      </c>
      <c r="I17" s="212"/>
      <c r="J17" s="1121" t="str">
        <f>IFERROR(VLOOKUP($B17&amp;"|"&amp;$D17,'Carbon factors'!$AR$7:$AS$87,2,0),"")</f>
        <v/>
      </c>
      <c r="K17" s="501" t="str">
        <f t="shared" si="0"/>
        <v/>
      </c>
      <c r="L17" s="181" t="s">
        <v>192</v>
      </c>
      <c r="N17" s="1297" t="str">
        <f>IFERROR((IF($D17="passenger.km",((VLOOKUP($B17&amp;"|"&amp;$D17,'Carbon factors'!$AR$7:$AU$87,3,0))*$C17*$E17),($E17*(VLOOKUP($B17&amp;"|"&amp;$D17,'Carbon factors'!$AR$7:$AU$87,3,0))))),"")</f>
        <v/>
      </c>
      <c r="O17" s="183" t="str">
        <f>IFERROR(IF($D17="passenger.km",((VLOOKUP($B17&amp;"|"&amp;$D17,'Carbon factors'!$AR$7:$AU$87,4,0))*$C17*$E17),($E17*(VLOOKUP($B17&amp;"|"&amp;$D17,'Carbon factors'!$AR$7:$AU$87,4,0)))),"")</f>
        <v/>
      </c>
      <c r="P17" s="1296" t="str">
        <f>IFERROR(IF($D17="passenger.km",((VLOOKUP($B17&amp;"|"&amp;$D17,'Carbon factors'!$AR$7:$AV$87,5,0))*$C17*$E17),($E17*(VLOOKUP($B17&amp;"|"&amp;$D17,'Carbon factors'!$AR$7:$AV$87,5,0)))),"")</f>
        <v/>
      </c>
      <c r="R17" s="235"/>
      <c r="S17" s="159" t="s">
        <v>762</v>
      </c>
      <c r="T17" s="262"/>
    </row>
    <row r="18" spans="1:20" x14ac:dyDescent="0.35">
      <c r="A18" s="1330"/>
      <c r="B18" s="579"/>
      <c r="C18" s="579"/>
      <c r="D18" s="577"/>
      <c r="E18" s="577"/>
      <c r="F18" s="938" t="str">
        <f t="shared" si="1"/>
        <v/>
      </c>
      <c r="G18" s="186"/>
      <c r="H18" s="501" t="str" cm="1">
        <f t="array" ref="H18">IFERROR((_xlfn.IFS(G18=$T$11,"3",G18=$T$12,"2",G18=$T$13,"1",G18=$T$14,"1"))*E18,"")</f>
        <v/>
      </c>
      <c r="I18" s="212"/>
      <c r="J18" s="1121" t="str">
        <f>IFERROR(VLOOKUP($B18&amp;"|"&amp;$D18,'Carbon factors'!$AR$7:$AS$87,2,0),"")</f>
        <v/>
      </c>
      <c r="K18" s="501" t="str">
        <f t="shared" si="0"/>
        <v/>
      </c>
      <c r="L18" s="181" t="s">
        <v>192</v>
      </c>
      <c r="N18" s="1297" t="str">
        <f>IFERROR((IF($D18="passenger.km",((VLOOKUP($B18&amp;"|"&amp;$D18,'Carbon factors'!$AR$7:$AU$87,3,0))*$C18*$E18),($E18*(VLOOKUP($B18&amp;"|"&amp;$D18,'Carbon factors'!$AR$7:$AU$87,3,0))))),"")</f>
        <v/>
      </c>
      <c r="O18" s="183" t="str">
        <f>IFERROR(IF($D18="passenger.km",((VLOOKUP($B18&amp;"|"&amp;$D18,'Carbon factors'!$AR$7:$AU$87,4,0))*$C18*$E18),($E18*(VLOOKUP($B18&amp;"|"&amp;$D18,'Carbon factors'!$AR$7:$AU$87,4,0)))),"")</f>
        <v/>
      </c>
      <c r="P18" s="1296" t="str">
        <f>IFERROR(IF($D18="passenger.km",((VLOOKUP($B18&amp;"|"&amp;$D18,'Carbon factors'!$AR$7:$AV$87,5,0))*$C18*$E18),($E18*(VLOOKUP($B18&amp;"|"&amp;$D18,'Carbon factors'!$AR$7:$AV$87,5,0)))),"")</f>
        <v/>
      </c>
      <c r="R18" s="235"/>
      <c r="S18" s="159" t="s">
        <v>763</v>
      </c>
      <c r="T18" s="262"/>
    </row>
    <row r="19" spans="1:20" x14ac:dyDescent="0.35">
      <c r="A19" s="1330"/>
      <c r="B19" s="579"/>
      <c r="C19" s="579"/>
      <c r="D19" s="577"/>
      <c r="E19" s="577"/>
      <c r="F19" s="938" t="str">
        <f t="shared" si="1"/>
        <v/>
      </c>
      <c r="G19" s="186"/>
      <c r="H19" s="501" t="str" cm="1">
        <f t="array" ref="H19">IFERROR((_xlfn.IFS(G19=$T$11,"3",G19=$T$12,"2",G19=$T$13,"1",G19=$T$14,"1"))*E19,"")</f>
        <v/>
      </c>
      <c r="I19" s="212"/>
      <c r="J19" s="1121" t="str">
        <f>IFERROR(VLOOKUP($B19&amp;"|"&amp;$D19,'Carbon factors'!$AR$7:$AS$87,2,0),"")</f>
        <v/>
      </c>
      <c r="K19" s="501" t="str">
        <f t="shared" si="0"/>
        <v/>
      </c>
      <c r="L19" s="181" t="s">
        <v>192</v>
      </c>
      <c r="N19" s="1297" t="str">
        <f>IFERROR((IF($D19="passenger.km",((VLOOKUP($B19&amp;"|"&amp;$D19,'Carbon factors'!$AR$7:$AU$87,3,0))*$C19*$E19),($E19*(VLOOKUP($B19&amp;"|"&amp;$D19,'Carbon factors'!$AR$7:$AU$87,3,0))))),"")</f>
        <v/>
      </c>
      <c r="O19" s="183" t="str">
        <f>IFERROR(IF($D19="passenger.km",((VLOOKUP($B19&amp;"|"&amp;$D19,'Carbon factors'!$AR$7:$AU$87,4,0))*$C19*$E19),($E19*(VLOOKUP($B19&amp;"|"&amp;$D19,'Carbon factors'!$AR$7:$AU$87,4,0)))),"")</f>
        <v/>
      </c>
      <c r="P19" s="1296" t="str">
        <f>IFERROR(IF($D19="passenger.km",((VLOOKUP($B19&amp;"|"&amp;$D19,'Carbon factors'!$AR$7:$AV$87,5,0))*$C19*$E19),($E19*(VLOOKUP($B19&amp;"|"&amp;$D19,'Carbon factors'!$AR$7:$AV$87,5,0)))),"")</f>
        <v/>
      </c>
      <c r="R19" s="235"/>
      <c r="S19" s="159" t="s">
        <v>764</v>
      </c>
      <c r="T19" s="262"/>
    </row>
    <row r="20" spans="1:20" x14ac:dyDescent="0.35">
      <c r="A20" s="1330"/>
      <c r="B20" s="579"/>
      <c r="C20" s="579"/>
      <c r="D20" s="577"/>
      <c r="E20" s="577"/>
      <c r="F20" s="938" t="str">
        <f t="shared" si="1"/>
        <v/>
      </c>
      <c r="G20" s="186"/>
      <c r="H20" s="501" t="str" cm="1">
        <f t="array" ref="H20">IFERROR((_xlfn.IFS(G20=$T$11,"3",G20=$T$12,"2",G20=$T$13,"1",G20=$T$14,"1"))*E20,"")</f>
        <v/>
      </c>
      <c r="I20" s="212"/>
      <c r="J20" s="1121" t="str">
        <f>IFERROR(VLOOKUP($B20&amp;"|"&amp;$D20,'Carbon factors'!$AR$7:$AS$87,2,0),"")</f>
        <v/>
      </c>
      <c r="K20" s="501" t="str">
        <f t="shared" si="0"/>
        <v/>
      </c>
      <c r="L20" s="181" t="s">
        <v>192</v>
      </c>
      <c r="N20" s="1297" t="str">
        <f>IFERROR((IF($D20="passenger.km",((VLOOKUP($B20&amp;"|"&amp;$D20,'Carbon factors'!$AR$7:$AU$87,3,0))*$C20*$E20),($E20*(VLOOKUP($B20&amp;"|"&amp;$D20,'Carbon factors'!$AR$7:$AU$87,3,0))))),"")</f>
        <v/>
      </c>
      <c r="O20" s="183" t="str">
        <f>IFERROR(IF($D20="passenger.km",((VLOOKUP($B20&amp;"|"&amp;$D20,'Carbon factors'!$AR$7:$AU$87,4,0))*$C20*$E20),($E20*(VLOOKUP($B20&amp;"|"&amp;$D20,'Carbon factors'!$AR$7:$AU$87,4,0)))),"")</f>
        <v/>
      </c>
      <c r="P20" s="1296" t="str">
        <f>IFERROR(IF($D20="passenger.km",((VLOOKUP($B20&amp;"|"&amp;$D20,'Carbon factors'!$AR$7:$AV$87,5,0))*$C20*$E20),($E20*(VLOOKUP($B20&amp;"|"&amp;$D20,'Carbon factors'!$AR$7:$AV$87,5,0)))),"")</f>
        <v/>
      </c>
      <c r="R20" s="235"/>
      <c r="S20" s="159" t="s">
        <v>765</v>
      </c>
      <c r="T20" s="262"/>
    </row>
    <row r="21" spans="1:20" x14ac:dyDescent="0.35">
      <c r="A21" s="1330"/>
      <c r="B21" s="579"/>
      <c r="C21" s="579"/>
      <c r="D21" s="577"/>
      <c r="E21" s="577"/>
      <c r="F21" s="938" t="str">
        <f t="shared" si="1"/>
        <v/>
      </c>
      <c r="G21" s="186"/>
      <c r="H21" s="501" t="str" cm="1">
        <f t="array" ref="H21">IFERROR((_xlfn.IFS(G21=$T$11,"3",G21=$T$12,"2",G21=$T$13,"1",G21=$T$14,"1"))*E21,"")</f>
        <v/>
      </c>
      <c r="I21" s="212"/>
      <c r="J21" s="1121" t="str">
        <f>IFERROR(VLOOKUP($B21&amp;"|"&amp;$D21,'Carbon factors'!$AR$7:$AS$87,2,0),"")</f>
        <v/>
      </c>
      <c r="K21" s="501" t="str">
        <f t="shared" si="0"/>
        <v/>
      </c>
      <c r="L21" s="181" t="s">
        <v>192</v>
      </c>
      <c r="N21" s="1297" t="str">
        <f>IFERROR((IF($D21="passenger.km",((VLOOKUP($B21&amp;"|"&amp;$D21,'Carbon factors'!$AR$7:$AU$87,3,0))*$C21*$E21),($E21*(VLOOKUP($B21&amp;"|"&amp;$D21,'Carbon factors'!$AR$7:$AU$87,3,0))))),"")</f>
        <v/>
      </c>
      <c r="O21" s="183" t="str">
        <f>IFERROR(IF($D21="passenger.km",((VLOOKUP($B21&amp;"|"&amp;$D21,'Carbon factors'!$AR$7:$AU$87,4,0))*$C21*$E21),($E21*(VLOOKUP($B21&amp;"|"&amp;$D21,'Carbon factors'!$AR$7:$AU$87,4,0)))),"")</f>
        <v/>
      </c>
      <c r="P21" s="1296" t="str">
        <f>IFERROR(IF($D21="passenger.km",((VLOOKUP($B21&amp;"|"&amp;$D21,'Carbon factors'!$AR$7:$AV$87,5,0))*$C21*$E21),($E21*(VLOOKUP($B21&amp;"|"&amp;$D21,'Carbon factors'!$AR$7:$AV$87,5,0)))),"")</f>
        <v/>
      </c>
      <c r="R21" s="235"/>
      <c r="S21" s="159" t="s">
        <v>766</v>
      </c>
      <c r="T21" s="262"/>
    </row>
    <row r="22" spans="1:20" x14ac:dyDescent="0.35">
      <c r="A22" s="1330"/>
      <c r="B22" s="579"/>
      <c r="C22" s="579"/>
      <c r="D22" s="577"/>
      <c r="E22" s="577"/>
      <c r="F22" s="938" t="str">
        <f t="shared" si="1"/>
        <v/>
      </c>
      <c r="G22" s="186"/>
      <c r="H22" s="501" t="str" cm="1">
        <f t="array" ref="H22">IFERROR((_xlfn.IFS(G22=$T$11,"3",G22=$T$12,"2",G22=$T$13,"1",G22=$T$14,"1"))*E22,"")</f>
        <v/>
      </c>
      <c r="I22" s="212"/>
      <c r="J22" s="1121" t="str">
        <f>IFERROR(VLOOKUP($B22&amp;"|"&amp;$D22,'Carbon factors'!$AR$7:$AS$87,2,0),"")</f>
        <v/>
      </c>
      <c r="K22" s="501" t="str">
        <f t="shared" si="0"/>
        <v/>
      </c>
      <c r="L22" s="181" t="s">
        <v>192</v>
      </c>
      <c r="N22" s="1297" t="str">
        <f>IFERROR((IF($D22="passenger.km",((VLOOKUP($B22&amp;"|"&amp;$D22,'Carbon factors'!$AR$7:$AU$87,3,0))*$C22*$E22),($E22*(VLOOKUP($B22&amp;"|"&amp;$D22,'Carbon factors'!$AR$7:$AU$87,3,0))))),"")</f>
        <v/>
      </c>
      <c r="O22" s="183" t="str">
        <f>IFERROR(IF($D22="passenger.km",((VLOOKUP($B22&amp;"|"&amp;$D22,'Carbon factors'!$AR$7:$AU$87,4,0))*$C22*$E22),($E22*(VLOOKUP($B22&amp;"|"&amp;$D22,'Carbon factors'!$AR$7:$AU$87,4,0)))),"")</f>
        <v/>
      </c>
      <c r="P22" s="1296" t="str">
        <f>IFERROR(IF($D22="passenger.km",((VLOOKUP($B22&amp;"|"&amp;$D22,'Carbon factors'!$AR$7:$AV$87,5,0))*$C22*$E22),($E22*(VLOOKUP($B22&amp;"|"&amp;$D22,'Carbon factors'!$AR$7:$AV$87,5,0)))),"")</f>
        <v/>
      </c>
      <c r="R22" s="235"/>
      <c r="S22" s="159" t="s">
        <v>767</v>
      </c>
      <c r="T22" s="262"/>
    </row>
    <row r="23" spans="1:20" x14ac:dyDescent="0.35">
      <c r="A23" s="1330"/>
      <c r="B23" s="579"/>
      <c r="C23" s="579"/>
      <c r="D23" s="577"/>
      <c r="E23" s="577"/>
      <c r="F23" s="938" t="str">
        <f t="shared" si="1"/>
        <v/>
      </c>
      <c r="G23" s="186"/>
      <c r="H23" s="501" t="str" cm="1">
        <f t="array" ref="H23">IFERROR((_xlfn.IFS(G23=$T$11,"3",G23=$T$12,"2",G23=$T$13,"1",G23=$T$14,"1"))*E23,"")</f>
        <v/>
      </c>
      <c r="I23" s="212"/>
      <c r="J23" s="1121" t="str">
        <f>IFERROR(VLOOKUP($B23&amp;"|"&amp;$D23,'Carbon factors'!$AR$7:$AS$87,2,0),"")</f>
        <v/>
      </c>
      <c r="K23" s="501" t="str">
        <f t="shared" si="0"/>
        <v/>
      </c>
      <c r="L23" s="181" t="s">
        <v>192</v>
      </c>
      <c r="N23" s="1297" t="str">
        <f>IFERROR((IF($D23="passenger.km",((VLOOKUP($B23&amp;"|"&amp;$D23,'Carbon factors'!$AR$7:$AU$87,3,0))*$C23*$E23),($E23*(VLOOKUP($B23&amp;"|"&amp;$D23,'Carbon factors'!$AR$7:$AU$87,3,0))))),"")</f>
        <v/>
      </c>
      <c r="O23" s="183" t="str">
        <f>IFERROR(IF($D23="passenger.km",((VLOOKUP($B23&amp;"|"&amp;$D23,'Carbon factors'!$AR$7:$AU$87,4,0))*$C23*$E23),($E23*(VLOOKUP($B23&amp;"|"&amp;$D23,'Carbon factors'!$AR$7:$AU$87,4,0)))),"")</f>
        <v/>
      </c>
      <c r="P23" s="1296" t="str">
        <f>IFERROR(IF($D23="passenger.km",((VLOOKUP($B23&amp;"|"&amp;$D23,'Carbon factors'!$AR$7:$AV$87,5,0))*$C23*$E23),($E23*(VLOOKUP($B23&amp;"|"&amp;$D23,'Carbon factors'!$AR$7:$AV$87,5,0)))),"")</f>
        <v/>
      </c>
      <c r="R23" s="235"/>
      <c r="S23" s="159" t="s">
        <v>768</v>
      </c>
      <c r="T23" s="262"/>
    </row>
    <row r="24" spans="1:20" x14ac:dyDescent="0.35">
      <c r="A24" s="1330"/>
      <c r="B24" s="579"/>
      <c r="C24" s="579"/>
      <c r="D24" s="577"/>
      <c r="E24" s="577"/>
      <c r="F24" s="938" t="str">
        <f t="shared" si="1"/>
        <v/>
      </c>
      <c r="G24" s="186"/>
      <c r="H24" s="501" t="str" cm="1">
        <f t="array" ref="H24">IFERROR((_xlfn.IFS(G24=$T$11,"3",G24=$T$12,"2",G24=$T$13,"1",G24=$T$14,"1"))*E24,"")</f>
        <v/>
      </c>
      <c r="I24" s="212"/>
      <c r="J24" s="1121" t="str">
        <f>IFERROR(VLOOKUP($B24&amp;"|"&amp;$D24,'Carbon factors'!$AR$7:$AS$87,2,0),"")</f>
        <v/>
      </c>
      <c r="K24" s="501" t="str">
        <f t="shared" si="0"/>
        <v/>
      </c>
      <c r="L24" s="181" t="s">
        <v>192</v>
      </c>
      <c r="N24" s="1297" t="str">
        <f>IFERROR((IF($D24="passenger.km",((VLOOKUP($B24&amp;"|"&amp;$D24,'Carbon factors'!$AR$7:$AU$87,3,0))*$C24*$E24),($E24*(VLOOKUP($B24&amp;"|"&amp;$D24,'Carbon factors'!$AR$7:$AU$87,3,0))))),"")</f>
        <v/>
      </c>
      <c r="O24" s="183" t="str">
        <f>IFERROR(IF($D24="passenger.km",((VLOOKUP($B24&amp;"|"&amp;$D24,'Carbon factors'!$AR$7:$AU$87,4,0))*$C24*$E24),($E24*(VLOOKUP($B24&amp;"|"&amp;$D24,'Carbon factors'!$AR$7:$AU$87,4,0)))),"")</f>
        <v/>
      </c>
      <c r="P24" s="1296" t="str">
        <f>IFERROR(IF($D24="passenger.km",((VLOOKUP($B24&amp;"|"&amp;$D24,'Carbon factors'!$AR$7:$AV$87,5,0))*$C24*$E24),($E24*(VLOOKUP($B24&amp;"|"&amp;$D24,'Carbon factors'!$AR$7:$AV$87,5,0)))),"")</f>
        <v/>
      </c>
      <c r="R24" s="235"/>
      <c r="S24" s="159" t="s">
        <v>769</v>
      </c>
      <c r="T24" s="262"/>
    </row>
    <row r="25" spans="1:20" x14ac:dyDescent="0.35">
      <c r="A25" s="898"/>
      <c r="B25" s="579"/>
      <c r="C25" s="579"/>
      <c r="D25" s="577"/>
      <c r="E25" s="577"/>
      <c r="F25" s="938" t="str">
        <f t="shared" si="1"/>
        <v/>
      </c>
      <c r="G25" s="186"/>
      <c r="H25" s="501" t="str" cm="1">
        <f t="array" ref="H25">IFERROR((_xlfn.IFS(G25=$T$11,"3",G25=$T$12,"2",G25=$T$13,"1",G25=$T$14,"1"))*E25,"")</f>
        <v/>
      </c>
      <c r="I25" s="212"/>
      <c r="J25" s="1121" t="str">
        <f>IFERROR(VLOOKUP($B25&amp;"|"&amp;$D25,'Carbon factors'!$AR$7:$AS$87,2,0),"")</f>
        <v/>
      </c>
      <c r="K25" s="501" t="str">
        <f t="shared" si="0"/>
        <v/>
      </c>
      <c r="L25" s="181" t="s">
        <v>192</v>
      </c>
      <c r="N25" s="1297" t="str">
        <f>IFERROR((IF($D25="passenger.km",((VLOOKUP($B25&amp;"|"&amp;$D25,'Carbon factors'!$AR$7:$AU$87,3,0))*$C25*$E25),($E25*(VLOOKUP($B25&amp;"|"&amp;$D25,'Carbon factors'!$AR$7:$AU$87,3,0))))),"")</f>
        <v/>
      </c>
      <c r="O25" s="183" t="str">
        <f>IFERROR(IF($D25="passenger.km",((VLOOKUP($B25&amp;"|"&amp;$D25,'Carbon factors'!$AR$7:$AU$87,4,0))*$C25*$E25),($E25*(VLOOKUP($B25&amp;"|"&amp;$D25,'Carbon factors'!$AR$7:$AU$87,4,0)))),"")</f>
        <v/>
      </c>
      <c r="P25" s="1296" t="str">
        <f>IFERROR(IF($D25="passenger.km",((VLOOKUP($B25&amp;"|"&amp;$D25,'Carbon factors'!$AR$7:$AV$87,5,0))*$C25*$E25),($E25*(VLOOKUP($B25&amp;"|"&amp;$D25,'Carbon factors'!$AR$7:$AV$87,5,0)))),"")</f>
        <v/>
      </c>
      <c r="R25" s="235"/>
      <c r="S25" s="159" t="s">
        <v>770</v>
      </c>
      <c r="T25" s="262"/>
    </row>
    <row r="26" spans="1:20" x14ac:dyDescent="0.35">
      <c r="A26" s="898"/>
      <c r="B26" s="579"/>
      <c r="C26" s="579"/>
      <c r="D26" s="577"/>
      <c r="E26" s="577"/>
      <c r="F26" s="938" t="str">
        <f t="shared" si="1"/>
        <v/>
      </c>
      <c r="G26" s="186"/>
      <c r="H26" s="501" t="str" cm="1">
        <f t="array" ref="H26">IFERROR((_xlfn.IFS(G26=$T$11,"3",G26=$T$12,"2",G26=$T$13,"1",G26=$T$14,"1"))*E26,"")</f>
        <v/>
      </c>
      <c r="I26" s="212"/>
      <c r="J26" s="1121" t="str">
        <f>IFERROR(VLOOKUP($B26&amp;"|"&amp;$D26,'Carbon factors'!$AR$7:$AS$87,2,0),"")</f>
        <v/>
      </c>
      <c r="K26" s="501" t="str">
        <f t="shared" si="0"/>
        <v/>
      </c>
      <c r="L26" s="181" t="s">
        <v>192</v>
      </c>
      <c r="N26" s="1297" t="str">
        <f>IFERROR((IF($D26="passenger.km",((VLOOKUP($B26&amp;"|"&amp;$D26,'Carbon factors'!$AR$7:$AU$87,3,0))*$C26*$E26),($E26*(VLOOKUP($B26&amp;"|"&amp;$D26,'Carbon factors'!$AR$7:$AU$87,3,0))))),"")</f>
        <v/>
      </c>
      <c r="O26" s="183" t="str">
        <f>IFERROR(IF($D26="passenger.km",((VLOOKUP($B26&amp;"|"&amp;$D26,'Carbon factors'!$AR$7:$AU$87,4,0))*$C26*$E26),($E26*(VLOOKUP($B26&amp;"|"&amp;$D26,'Carbon factors'!$AR$7:$AU$87,4,0)))),"")</f>
        <v/>
      </c>
      <c r="P26" s="1296" t="str">
        <f>IFERROR(IF($D26="passenger.km",((VLOOKUP($B26&amp;"|"&amp;$D26,'Carbon factors'!$AR$7:$AV$87,5,0))*$C26*$E26),($E26*(VLOOKUP($B26&amp;"|"&amp;$D26,'Carbon factors'!$AR$7:$AV$87,5,0)))),"")</f>
        <v/>
      </c>
      <c r="R26" s="235"/>
      <c r="S26" s="159" t="s">
        <v>771</v>
      </c>
      <c r="T26" s="262"/>
    </row>
    <row r="27" spans="1:20" x14ac:dyDescent="0.35">
      <c r="A27" s="898"/>
      <c r="B27" s="579"/>
      <c r="C27" s="579"/>
      <c r="D27" s="577"/>
      <c r="E27" s="577"/>
      <c r="F27" s="938" t="str">
        <f t="shared" si="1"/>
        <v/>
      </c>
      <c r="G27" s="186"/>
      <c r="H27" s="501" t="str" cm="1">
        <f t="array" ref="H27">IFERROR((_xlfn.IFS(G27=$T$11,"3",G27=$T$12,"2",G27=$T$13,"1",G27=$T$14,"1"))*E27,"")</f>
        <v/>
      </c>
      <c r="I27" s="212"/>
      <c r="J27" s="1121" t="str">
        <f>IFERROR(VLOOKUP($B27&amp;"|"&amp;$D27,'Carbon factors'!$AR$7:$AS$87,2,0),"")</f>
        <v/>
      </c>
      <c r="K27" s="501" t="str">
        <f t="shared" si="0"/>
        <v/>
      </c>
      <c r="L27" s="181" t="s">
        <v>192</v>
      </c>
      <c r="N27" s="1297" t="str">
        <f>IFERROR((IF($D27="passenger.km",((VLOOKUP($B27&amp;"|"&amp;$D27,'Carbon factors'!$AR$7:$AU$87,3,0))*$C27*$E27),($E27*(VLOOKUP($B27&amp;"|"&amp;$D27,'Carbon factors'!$AR$7:$AU$87,3,0))))),"")</f>
        <v/>
      </c>
      <c r="O27" s="183" t="str">
        <f>IFERROR(IF($D27="passenger.km",((VLOOKUP($B27&amp;"|"&amp;$D27,'Carbon factors'!$AR$7:$AU$87,4,0))*$C27*$E27),($E27*(VLOOKUP($B27&amp;"|"&amp;$D27,'Carbon factors'!$AR$7:$AU$87,4,0)))),"")</f>
        <v/>
      </c>
      <c r="P27" s="1296" t="str">
        <f>IFERROR(IF($D27="passenger.km",((VLOOKUP($B27&amp;"|"&amp;$D27,'Carbon factors'!$AR$7:$AV$87,5,0))*$C27*$E27),($E27*(VLOOKUP($B27&amp;"|"&amp;$D27,'Carbon factors'!$AR$7:$AV$87,5,0)))),"")</f>
        <v/>
      </c>
      <c r="R27" s="235"/>
      <c r="S27" s="159" t="s">
        <v>772</v>
      </c>
      <c r="T27" s="262"/>
    </row>
    <row r="28" spans="1:20" x14ac:dyDescent="0.35">
      <c r="A28" s="898"/>
      <c r="B28" s="579"/>
      <c r="C28" s="579"/>
      <c r="D28" s="577"/>
      <c r="E28" s="577"/>
      <c r="F28" s="938" t="str">
        <f t="shared" si="1"/>
        <v/>
      </c>
      <c r="G28" s="186"/>
      <c r="H28" s="501" t="str" cm="1">
        <f t="array" ref="H28">IFERROR((_xlfn.IFS(G28=$T$11,"3",G28=$T$12,"2",G28=$T$13,"1",G28=$T$14,"1"))*E28,"")</f>
        <v/>
      </c>
      <c r="I28" s="212"/>
      <c r="J28" s="1121" t="str">
        <f>IFERROR(VLOOKUP($B28&amp;"|"&amp;$D28,'Carbon factors'!$AR$7:$AS$87,2,0),"")</f>
        <v/>
      </c>
      <c r="K28" s="501" t="str">
        <f t="shared" si="0"/>
        <v/>
      </c>
      <c r="L28" s="181" t="s">
        <v>192</v>
      </c>
      <c r="N28" s="1297" t="str">
        <f>IFERROR((IF($D28="passenger.km",((VLOOKUP($B28&amp;"|"&amp;$D28,'Carbon factors'!$AR$7:$AU$87,3,0))*$C28*$E28),($E28*(VLOOKUP($B28&amp;"|"&amp;$D28,'Carbon factors'!$AR$7:$AU$87,3,0))))),"")</f>
        <v/>
      </c>
      <c r="O28" s="183" t="str">
        <f>IFERROR(IF($D28="passenger.km",((VLOOKUP($B28&amp;"|"&amp;$D28,'Carbon factors'!$AR$7:$AU$87,4,0))*$C28*$E28),($E28*(VLOOKUP($B28&amp;"|"&amp;$D28,'Carbon factors'!$AR$7:$AU$87,4,0)))),"")</f>
        <v/>
      </c>
      <c r="P28" s="1296" t="str">
        <f>IFERROR(IF($D28="passenger.km",((VLOOKUP($B28&amp;"|"&amp;$D28,'Carbon factors'!$AR$7:$AV$87,5,0))*$C28*$E28),($E28*(VLOOKUP($B28&amp;"|"&amp;$D28,'Carbon factors'!$AR$7:$AV$87,5,0)))),"")</f>
        <v/>
      </c>
      <c r="R28" s="235"/>
      <c r="S28" s="159" t="s">
        <v>773</v>
      </c>
      <c r="T28" s="262"/>
    </row>
    <row r="29" spans="1:20" x14ac:dyDescent="0.35">
      <c r="A29" s="898"/>
      <c r="B29" s="579"/>
      <c r="C29" s="579"/>
      <c r="D29" s="577"/>
      <c r="E29" s="577"/>
      <c r="F29" s="938" t="str">
        <f t="shared" si="1"/>
        <v/>
      </c>
      <c r="G29" s="186"/>
      <c r="H29" s="501" t="str" cm="1">
        <f t="array" ref="H29">IFERROR((_xlfn.IFS(G29=$T$11,"3",G29=$T$12,"2",G29=$T$13,"1",G29=$T$14,"1"))*E29,"")</f>
        <v/>
      </c>
      <c r="I29" s="212"/>
      <c r="J29" s="1121" t="str">
        <f>IFERROR(VLOOKUP($B29&amp;"|"&amp;$D29,'Carbon factors'!$AR$7:$AS$87,2,0),"")</f>
        <v/>
      </c>
      <c r="K29" s="501" t="str">
        <f t="shared" si="0"/>
        <v/>
      </c>
      <c r="L29" s="181" t="s">
        <v>192</v>
      </c>
      <c r="N29" s="1297" t="str">
        <f>IFERROR((IF($D29="passenger.km",((VLOOKUP($B29&amp;"|"&amp;$D29,'Carbon factors'!$AR$7:$AU$87,3,0))*$C29*$E29),($E29*(VLOOKUP($B29&amp;"|"&amp;$D29,'Carbon factors'!$AR$7:$AU$87,3,0))))),"")</f>
        <v/>
      </c>
      <c r="O29" s="183" t="str">
        <f>IFERROR(IF($D29="passenger.km",((VLOOKUP($B29&amp;"|"&amp;$D29,'Carbon factors'!$AR$7:$AU$87,4,0))*$C29*$E29),($E29*(VLOOKUP($B29&amp;"|"&amp;$D29,'Carbon factors'!$AR$7:$AU$87,4,0)))),"")</f>
        <v/>
      </c>
      <c r="P29" s="1296" t="str">
        <f>IFERROR(IF($D29="passenger.km",((VLOOKUP($B29&amp;"|"&amp;$D29,'Carbon factors'!$AR$7:$AV$87,5,0))*$C29*$E29),($E29*(VLOOKUP($B29&amp;"|"&amp;$D29,'Carbon factors'!$AR$7:$AV$87,5,0)))),"")</f>
        <v/>
      </c>
      <c r="R29" s="235"/>
      <c r="S29" s="159" t="s">
        <v>774</v>
      </c>
      <c r="T29" s="262"/>
    </row>
    <row r="30" spans="1:20" x14ac:dyDescent="0.35">
      <c r="A30" s="898"/>
      <c r="B30" s="579"/>
      <c r="C30" s="579"/>
      <c r="D30" s="577"/>
      <c r="E30" s="577"/>
      <c r="F30" s="938" t="str">
        <f t="shared" si="1"/>
        <v/>
      </c>
      <c r="G30" s="186"/>
      <c r="H30" s="501" t="str" cm="1">
        <f t="array" ref="H30">IFERROR((_xlfn.IFS(G30=$T$11,"3",G30=$T$12,"2",G30=$T$13,"1",G30=$T$14,"1"))*E30,"")</f>
        <v/>
      </c>
      <c r="I30" s="212"/>
      <c r="J30" s="1121" t="str">
        <f>IFERROR(VLOOKUP($B30&amp;"|"&amp;$D30,'Carbon factors'!$AR$7:$AS$87,2,0),"")</f>
        <v/>
      </c>
      <c r="K30" s="501" t="str">
        <f t="shared" si="0"/>
        <v/>
      </c>
      <c r="L30" s="181" t="s">
        <v>192</v>
      </c>
      <c r="N30" s="1297" t="str">
        <f>IFERROR((IF($D30="passenger.km",((VLOOKUP($B30&amp;"|"&amp;$D30,'Carbon factors'!$AR$7:$AU$87,3,0))*$C30*$E30),($E30*(VLOOKUP($B30&amp;"|"&amp;$D30,'Carbon factors'!$AR$7:$AU$87,3,0))))),"")</f>
        <v/>
      </c>
      <c r="O30" s="183" t="str">
        <f>IFERROR(IF($D30="passenger.km",((VLOOKUP($B30&amp;"|"&amp;$D30,'Carbon factors'!$AR$7:$AU$87,4,0))*$C30*$E30),($E30*(VLOOKUP($B30&amp;"|"&amp;$D30,'Carbon factors'!$AR$7:$AU$87,4,0)))),"")</f>
        <v/>
      </c>
      <c r="P30" s="1296" t="str">
        <f>IFERROR(IF($D30="passenger.km",((VLOOKUP($B30&amp;"|"&amp;$D30,'Carbon factors'!$AR$7:$AV$87,5,0))*$C30*$E30),($E30*(VLOOKUP($B30&amp;"|"&amp;$D30,'Carbon factors'!$AR$7:$AV$87,5,0)))),"")</f>
        <v/>
      </c>
      <c r="R30" s="235"/>
      <c r="S30" s="159" t="s">
        <v>775</v>
      </c>
      <c r="T30" s="262"/>
    </row>
    <row r="31" spans="1:20" x14ac:dyDescent="0.35">
      <c r="A31" s="898"/>
      <c r="B31" s="579"/>
      <c r="C31" s="579"/>
      <c r="D31" s="577"/>
      <c r="E31" s="577"/>
      <c r="F31" s="938" t="str">
        <f t="shared" si="1"/>
        <v/>
      </c>
      <c r="G31" s="186"/>
      <c r="H31" s="501" t="str" cm="1">
        <f t="array" ref="H31">IFERROR((_xlfn.IFS(G31=$T$11,"3",G31=$T$12,"2",G31=$T$13,"1",G31=$T$14,"1"))*E31,"")</f>
        <v/>
      </c>
      <c r="I31" s="212"/>
      <c r="J31" s="1121" t="str">
        <f>IFERROR(VLOOKUP($B31&amp;"|"&amp;$D31,'Carbon factors'!$AR$7:$AS$87,2,0),"")</f>
        <v/>
      </c>
      <c r="K31" s="501" t="str">
        <f t="shared" si="0"/>
        <v/>
      </c>
      <c r="L31" s="181" t="s">
        <v>192</v>
      </c>
      <c r="N31" s="1297" t="str">
        <f>IFERROR((IF($D31="passenger.km",((VLOOKUP($B31&amp;"|"&amp;$D31,'Carbon factors'!$AR$7:$AU$87,3,0))*$C31*$E31),($E31*(VLOOKUP($B31&amp;"|"&amp;$D31,'Carbon factors'!$AR$7:$AU$87,3,0))))),"")</f>
        <v/>
      </c>
      <c r="O31" s="183" t="str">
        <f>IFERROR(IF($D31="passenger.km",((VLOOKUP($B31&amp;"|"&amp;$D31,'Carbon factors'!$AR$7:$AU$87,4,0))*$C31*$E31),($E31*(VLOOKUP($B31&amp;"|"&amp;$D31,'Carbon factors'!$AR$7:$AU$87,4,0)))),"")</f>
        <v/>
      </c>
      <c r="P31" s="1296" t="str">
        <f>IFERROR(IF($D31="passenger.km",((VLOOKUP($B31&amp;"|"&amp;$D31,'Carbon factors'!$AR$7:$AV$87,5,0))*$C31*$E31),($E31*(VLOOKUP($B31&amp;"|"&amp;$D31,'Carbon factors'!$AR$7:$AV$87,5,0)))),"")</f>
        <v/>
      </c>
      <c r="R31" s="235"/>
      <c r="S31" s="159" t="s">
        <v>776</v>
      </c>
      <c r="T31" s="262"/>
    </row>
    <row r="32" spans="1:20" x14ac:dyDescent="0.35">
      <c r="A32" s="898"/>
      <c r="B32" s="579"/>
      <c r="C32" s="579"/>
      <c r="D32" s="577"/>
      <c r="E32" s="577"/>
      <c r="F32" s="938" t="str">
        <f t="shared" si="1"/>
        <v/>
      </c>
      <c r="G32" s="186"/>
      <c r="H32" s="501" t="str" cm="1">
        <f t="array" ref="H32">IFERROR((_xlfn.IFS(G32=$T$11,"3",G32=$T$12,"2",G32=$T$13,"1",G32=$T$14,"1"))*E32,"")</f>
        <v/>
      </c>
      <c r="I32" s="212"/>
      <c r="J32" s="1121" t="str">
        <f>IFERROR(VLOOKUP($B32&amp;"|"&amp;$D32,'Carbon factors'!$AR$7:$AS$87,2,0),"")</f>
        <v/>
      </c>
      <c r="K32" s="501" t="str">
        <f t="shared" si="0"/>
        <v/>
      </c>
      <c r="L32" s="181" t="s">
        <v>192</v>
      </c>
      <c r="N32" s="1297" t="str">
        <f>IFERROR((IF($D32="passenger.km",((VLOOKUP($B32&amp;"|"&amp;$D32,'Carbon factors'!$AR$7:$AU$87,3,0))*$C32*$E32),($E32*(VLOOKUP($B32&amp;"|"&amp;$D32,'Carbon factors'!$AR$7:$AU$87,3,0))))),"")</f>
        <v/>
      </c>
      <c r="O32" s="183" t="str">
        <f>IFERROR(IF($D32="passenger.km",((VLOOKUP($B32&amp;"|"&amp;$D32,'Carbon factors'!$AR$7:$AU$87,4,0))*$C32*$E32),($E32*(VLOOKUP($B32&amp;"|"&amp;$D32,'Carbon factors'!$AR$7:$AU$87,4,0)))),"")</f>
        <v/>
      </c>
      <c r="P32" s="1296" t="str">
        <f>IFERROR(IF($D32="passenger.km",((VLOOKUP($B32&amp;"|"&amp;$D32,'Carbon factors'!$AR$7:$AV$87,5,0))*$C32*$E32),($E32*(VLOOKUP($B32&amp;"|"&amp;$D32,'Carbon factors'!$AR$7:$AV$87,5,0)))),"")</f>
        <v/>
      </c>
      <c r="R32" s="235"/>
      <c r="S32" s="159" t="s">
        <v>777</v>
      </c>
      <c r="T32" s="262"/>
    </row>
    <row r="33" spans="1:20" x14ac:dyDescent="0.35">
      <c r="A33" s="898"/>
      <c r="B33" s="579"/>
      <c r="C33" s="579"/>
      <c r="D33" s="577"/>
      <c r="E33" s="577"/>
      <c r="F33" s="938" t="str">
        <f t="shared" si="1"/>
        <v/>
      </c>
      <c r="G33" s="186"/>
      <c r="H33" s="501" t="str" cm="1">
        <f t="array" ref="H33">IFERROR((_xlfn.IFS(G33=$T$11,"3",G33=$T$12,"2",G33=$T$13,"1",G33=$T$14,"1"))*E33,"")</f>
        <v/>
      </c>
      <c r="I33" s="212"/>
      <c r="J33" s="1121" t="str">
        <f>IFERROR(VLOOKUP($B33&amp;"|"&amp;$D33,'Carbon factors'!$AR$7:$AS$87,2,0),"")</f>
        <v/>
      </c>
      <c r="K33" s="501" t="str">
        <f t="shared" si="0"/>
        <v/>
      </c>
      <c r="L33" s="181" t="s">
        <v>192</v>
      </c>
      <c r="N33" s="1297" t="str">
        <f>IFERROR((IF($D33="passenger.km",((VLOOKUP($B33&amp;"|"&amp;$D33,'Carbon factors'!$AR$7:$AU$87,3,0))*$C33*$E33),($E33*(VLOOKUP($B33&amp;"|"&amp;$D33,'Carbon factors'!$AR$7:$AU$87,3,0))))),"")</f>
        <v/>
      </c>
      <c r="O33" s="183" t="str">
        <f>IFERROR(IF($D33="passenger.km",((VLOOKUP($B33&amp;"|"&amp;$D33,'Carbon factors'!$AR$7:$AU$87,4,0))*$C33*$E33),($E33*(VLOOKUP($B33&amp;"|"&amp;$D33,'Carbon factors'!$AR$7:$AU$87,4,0)))),"")</f>
        <v/>
      </c>
      <c r="P33" s="1296" t="str">
        <f>IFERROR(IF($D33="passenger.km",((VLOOKUP($B33&amp;"|"&amp;$D33,'Carbon factors'!$AR$7:$AV$87,5,0))*$C33*$E33),($E33*(VLOOKUP($B33&amp;"|"&amp;$D33,'Carbon factors'!$AR$7:$AV$87,5,0)))),"")</f>
        <v/>
      </c>
      <c r="R33" s="235"/>
      <c r="S33" s="159" t="s">
        <v>778</v>
      </c>
      <c r="T33" s="262"/>
    </row>
    <row r="34" spans="1:20" x14ac:dyDescent="0.35">
      <c r="A34" s="898"/>
      <c r="B34" s="579"/>
      <c r="C34" s="579"/>
      <c r="D34" s="577"/>
      <c r="E34" s="577"/>
      <c r="F34" s="938" t="str">
        <f t="shared" si="1"/>
        <v/>
      </c>
      <c r="G34" s="186"/>
      <c r="H34" s="501" t="str" cm="1">
        <f t="array" ref="H34">IFERROR((_xlfn.IFS(G34=$T$11,"3",G34=$T$12,"2",G34=$T$13,"1",G34=$T$14,"1"))*E34,"")</f>
        <v/>
      </c>
      <c r="I34" s="212"/>
      <c r="J34" s="1121" t="str">
        <f>IFERROR(VLOOKUP($B34&amp;"|"&amp;$D34,'Carbon factors'!$AR$7:$AS$87,2,0),"")</f>
        <v/>
      </c>
      <c r="K34" s="501" t="str">
        <f t="shared" si="0"/>
        <v/>
      </c>
      <c r="L34" s="181" t="s">
        <v>192</v>
      </c>
      <c r="N34" s="1297" t="str">
        <f>IFERROR((IF($D34="passenger.km",((VLOOKUP($B34&amp;"|"&amp;$D34,'Carbon factors'!$AR$7:$AU$87,3,0))*$C34*$E34),($E34*(VLOOKUP($B34&amp;"|"&amp;$D34,'Carbon factors'!$AR$7:$AU$87,3,0))))),"")</f>
        <v/>
      </c>
      <c r="O34" s="183" t="str">
        <f>IFERROR(IF($D34="passenger.km",((VLOOKUP($B34&amp;"|"&amp;$D34,'Carbon factors'!$AR$7:$AU$87,4,0))*$C34*$E34),($E34*(VLOOKUP($B34&amp;"|"&amp;$D34,'Carbon factors'!$AR$7:$AU$87,4,0)))),"")</f>
        <v/>
      </c>
      <c r="P34" s="1296" t="str">
        <f>IFERROR(IF($D34="passenger.km",((VLOOKUP($B34&amp;"|"&amp;$D34,'Carbon factors'!$AR$7:$AV$87,5,0))*$C34*$E34),($E34*(VLOOKUP($B34&amp;"|"&amp;$D34,'Carbon factors'!$AR$7:$AV$87,5,0)))),"")</f>
        <v/>
      </c>
      <c r="R34" s="235"/>
      <c r="S34" s="159" t="s">
        <v>779</v>
      </c>
      <c r="T34" s="262"/>
    </row>
    <row r="35" spans="1:20" x14ac:dyDescent="0.35">
      <c r="A35" s="898"/>
      <c r="B35" s="579"/>
      <c r="C35" s="579"/>
      <c r="D35" s="577"/>
      <c r="E35" s="577"/>
      <c r="F35" s="938" t="str">
        <f t="shared" si="1"/>
        <v/>
      </c>
      <c r="G35" s="186"/>
      <c r="H35" s="501" t="str" cm="1">
        <f t="array" ref="H35">IFERROR((_xlfn.IFS(G35=$T$11,"3",G35=$T$12,"2",G35=$T$13,"1",G35=$T$14,"1"))*E35,"")</f>
        <v/>
      </c>
      <c r="I35" s="212"/>
      <c r="J35" s="1121" t="str">
        <f>IFERROR(VLOOKUP($B35&amp;"|"&amp;$D35,'Carbon factors'!$AR$7:$AS$87,2,0),"")</f>
        <v/>
      </c>
      <c r="K35" s="501" t="str">
        <f t="shared" si="0"/>
        <v/>
      </c>
      <c r="L35" s="181" t="s">
        <v>192</v>
      </c>
      <c r="N35" s="1297" t="str">
        <f>IFERROR((IF($D35="passenger.km",((VLOOKUP($B35&amp;"|"&amp;$D35,'Carbon factors'!$AR$7:$AU$87,3,0))*$C35*$E35),($E35*(VLOOKUP($B35&amp;"|"&amp;$D35,'Carbon factors'!$AR$7:$AU$87,3,0))))),"")</f>
        <v/>
      </c>
      <c r="O35" s="183" t="str">
        <f>IFERROR(IF($D35="passenger.km",((VLOOKUP($B35&amp;"|"&amp;$D35,'Carbon factors'!$AR$7:$AU$87,4,0))*$C35*$E35),($E35*(VLOOKUP($B35&amp;"|"&amp;$D35,'Carbon factors'!$AR$7:$AU$87,4,0)))),"")</f>
        <v/>
      </c>
      <c r="P35" s="1296" t="str">
        <f>IFERROR(IF($D35="passenger.km",((VLOOKUP($B35&amp;"|"&amp;$D35,'Carbon factors'!$AR$7:$AV$87,5,0))*$C35*$E35),($E35*(VLOOKUP($B35&amp;"|"&amp;$D35,'Carbon factors'!$AR$7:$AV$87,5,0)))),"")</f>
        <v/>
      </c>
      <c r="R35" s="235"/>
      <c r="S35" s="159" t="s">
        <v>780</v>
      </c>
      <c r="T35" s="262"/>
    </row>
    <row r="36" spans="1:20" x14ac:dyDescent="0.35">
      <c r="A36" s="898"/>
      <c r="B36" s="579"/>
      <c r="C36" s="579"/>
      <c r="D36" s="577"/>
      <c r="E36" s="577"/>
      <c r="F36" s="938" t="str">
        <f t="shared" si="1"/>
        <v/>
      </c>
      <c r="G36" s="186"/>
      <c r="H36" s="501" t="str" cm="1">
        <f t="array" ref="H36">IFERROR((_xlfn.IFS(G36=$T$11,"3",G36=$T$12,"2",G36=$T$13,"1",G36=$T$14,"1"))*E36,"")</f>
        <v/>
      </c>
      <c r="I36" s="212"/>
      <c r="J36" s="1121" t="str">
        <f>IFERROR(VLOOKUP($B36&amp;"|"&amp;$D36,'Carbon factors'!$AR$7:$AS$87,2,0),"")</f>
        <v/>
      </c>
      <c r="K36" s="501" t="str">
        <f t="shared" si="0"/>
        <v/>
      </c>
      <c r="L36" s="181" t="s">
        <v>192</v>
      </c>
      <c r="N36" s="1297" t="str">
        <f>IFERROR((IF($D36="passenger.km",((VLOOKUP($B36&amp;"|"&amp;$D36,'Carbon factors'!$AR$7:$AU$87,3,0))*$C36*$E36),($E36*(VLOOKUP($B36&amp;"|"&amp;$D36,'Carbon factors'!$AR$7:$AU$87,3,0))))),"")</f>
        <v/>
      </c>
      <c r="O36" s="183" t="str">
        <f>IFERROR(IF($D36="passenger.km",((VLOOKUP($B36&amp;"|"&amp;$D36,'Carbon factors'!$AR$7:$AU$87,4,0))*$C36*$E36),($E36*(VLOOKUP($B36&amp;"|"&amp;$D36,'Carbon factors'!$AR$7:$AU$87,4,0)))),"")</f>
        <v/>
      </c>
      <c r="P36" s="1296" t="str">
        <f>IFERROR(IF($D36="passenger.km",((VLOOKUP($B36&amp;"|"&amp;$D36,'Carbon factors'!$AR$7:$AV$87,5,0))*$C36*$E36),($E36*(VLOOKUP($B36&amp;"|"&amp;$D36,'Carbon factors'!$AR$7:$AV$87,5,0)))),"")</f>
        <v/>
      </c>
      <c r="R36" s="235"/>
      <c r="S36" s="159" t="s">
        <v>781</v>
      </c>
      <c r="T36" s="262"/>
    </row>
    <row r="37" spans="1:20" ht="15" thickBot="1" x14ac:dyDescent="0.4">
      <c r="A37" s="898"/>
      <c r="B37" s="579"/>
      <c r="C37" s="579"/>
      <c r="D37" s="577"/>
      <c r="E37" s="577"/>
      <c r="F37" s="938" t="str">
        <f t="shared" si="1"/>
        <v/>
      </c>
      <c r="G37" s="186"/>
      <c r="H37" s="501" t="str" cm="1">
        <f t="array" ref="H37">IFERROR((_xlfn.IFS(G37=$T$11,"3",G37=$T$12,"2",G37=$T$13,"1",G37=$T$14,"1"))*E37,"")</f>
        <v/>
      </c>
      <c r="I37" s="212"/>
      <c r="J37" s="1121" t="str">
        <f>IFERROR(VLOOKUP($B37&amp;"|"&amp;$D37,'Carbon factors'!$AR$7:$AS$87,2,0),"")</f>
        <v/>
      </c>
      <c r="K37" s="501" t="str">
        <f t="shared" si="0"/>
        <v/>
      </c>
      <c r="L37" s="181" t="s">
        <v>192</v>
      </c>
      <c r="N37" s="1297" t="str">
        <f>IFERROR((IF($D37="passenger.km",((VLOOKUP($B37&amp;"|"&amp;$D37,'Carbon factors'!$AR$7:$AU$87,3,0))*$C37*$E37),($E37*(VLOOKUP($B37&amp;"|"&amp;$D37,'Carbon factors'!$AR$7:$AU$87,3,0))))),"")</f>
        <v/>
      </c>
      <c r="O37" s="183" t="str">
        <f>IFERROR(IF($D37="passenger.km",((VLOOKUP($B37&amp;"|"&amp;$D37,'Carbon factors'!$AR$7:$AU$87,4,0))*$C37*$E37),($E37*(VLOOKUP($B37&amp;"|"&amp;$D37,'Carbon factors'!$AR$7:$AU$87,4,0)))),"")</f>
        <v/>
      </c>
      <c r="P37" s="1296" t="str">
        <f>IFERROR(IF($D37="passenger.km",((VLOOKUP($B37&amp;"|"&amp;$D37,'Carbon factors'!$AR$7:$AV$87,5,0))*$C37*$E37),($E37*(VLOOKUP($B37&amp;"|"&amp;$D37,'Carbon factors'!$AR$7:$AV$87,5,0)))),"")</f>
        <v/>
      </c>
      <c r="R37" s="256"/>
      <c r="S37" s="551" t="s">
        <v>782</v>
      </c>
      <c r="T37" s="1136"/>
    </row>
    <row r="38" spans="1:20" x14ac:dyDescent="0.35">
      <c r="A38" s="898"/>
      <c r="B38" s="579"/>
      <c r="C38" s="579"/>
      <c r="D38" s="577"/>
      <c r="E38" s="577"/>
      <c r="F38" s="938" t="str">
        <f t="shared" si="1"/>
        <v/>
      </c>
      <c r="G38" s="186"/>
      <c r="H38" s="501" t="str" cm="1">
        <f t="array" ref="H38">IFERROR((_xlfn.IFS(G38=$T$11,"3",G38=$T$12,"2",G38=$T$13,"1",G38=$T$14,"1"))*E38,"")</f>
        <v/>
      </c>
      <c r="I38" s="212"/>
      <c r="J38" s="1121" t="str">
        <f>IFERROR(VLOOKUP($B38&amp;"|"&amp;$D38,'Carbon factors'!$AR$7:$AS$87,2,0),"")</f>
        <v/>
      </c>
      <c r="K38" s="501" t="str">
        <f t="shared" si="0"/>
        <v/>
      </c>
      <c r="L38" s="181" t="s">
        <v>192</v>
      </c>
      <c r="N38" s="1297" t="str">
        <f>IFERROR((IF($D38="passenger.km",((VLOOKUP($B38&amp;"|"&amp;$D38,'Carbon factors'!$AR$7:$AU$87,3,0))*$C38*$E38),($E38*(VLOOKUP($B38&amp;"|"&amp;$D38,'Carbon factors'!$AR$7:$AU$87,3,0))))),"")</f>
        <v/>
      </c>
      <c r="O38" s="183" t="str">
        <f>IFERROR(IF($D38="passenger.km",((VLOOKUP($B38&amp;"|"&amp;$D38,'Carbon factors'!$AR$7:$AU$87,4,0))*$C38*$E38),($E38*(VLOOKUP($B38&amp;"|"&amp;$D38,'Carbon factors'!$AR$7:$AU$87,4,0)))),"")</f>
        <v/>
      </c>
      <c r="P38" s="1296" t="str">
        <f>IFERROR(IF($D38="passenger.km",((VLOOKUP($B38&amp;"|"&amp;$D38,'Carbon factors'!$AR$7:$AV$87,5,0))*$C38*$E38),($E38*(VLOOKUP($B38&amp;"|"&amp;$D38,'Carbon factors'!$AR$7:$AV$87,5,0)))),"")</f>
        <v/>
      </c>
    </row>
    <row r="39" spans="1:20" x14ac:dyDescent="0.35">
      <c r="A39" s="898"/>
      <c r="B39" s="579"/>
      <c r="C39" s="579"/>
      <c r="D39" s="577"/>
      <c r="E39" s="577"/>
      <c r="F39" s="938" t="str">
        <f t="shared" si="1"/>
        <v/>
      </c>
      <c r="G39" s="186"/>
      <c r="H39" s="501" t="str" cm="1">
        <f t="array" ref="H39">IFERROR((_xlfn.IFS(G39=$T$11,"3",G39=$T$12,"2",G39=$T$13,"1",G39=$T$14,"1"))*E39,"")</f>
        <v/>
      </c>
      <c r="I39" s="212"/>
      <c r="J39" s="1121" t="str">
        <f>IFERROR(VLOOKUP($B39&amp;"|"&amp;$D39,'Carbon factors'!$AR$7:$AS$87,2,0),"")</f>
        <v/>
      </c>
      <c r="K39" s="501" t="str">
        <f t="shared" si="0"/>
        <v/>
      </c>
      <c r="L39" s="181" t="s">
        <v>192</v>
      </c>
      <c r="N39" s="1297" t="str">
        <f>IFERROR((IF($D39="passenger.km",((VLOOKUP($B39&amp;"|"&amp;$D39,'Carbon factors'!$AR$7:$AU$87,3,0))*$C39*$E39),($E39*(VLOOKUP($B39&amp;"|"&amp;$D39,'Carbon factors'!$AR$7:$AU$87,3,0))))),"")</f>
        <v/>
      </c>
      <c r="O39" s="183" t="str">
        <f>IFERROR(IF($D39="passenger.km",((VLOOKUP($B39&amp;"|"&amp;$D39,'Carbon factors'!$AR$7:$AU$87,4,0))*$C39*$E39),($E39*(VLOOKUP($B39&amp;"|"&amp;$D39,'Carbon factors'!$AR$7:$AU$87,4,0)))),"")</f>
        <v/>
      </c>
      <c r="P39" s="1296" t="str">
        <f>IFERROR(IF($D39="passenger.km",((VLOOKUP($B39&amp;"|"&amp;$D39,'Carbon factors'!$AR$7:$AV$87,5,0))*$C39*$E39),($E39*(VLOOKUP($B39&amp;"|"&amp;$D39,'Carbon factors'!$AR$7:$AV$87,5,0)))),"")</f>
        <v/>
      </c>
    </row>
    <row r="40" spans="1:20" x14ac:dyDescent="0.35">
      <c r="A40" s="898"/>
      <c r="B40" s="579"/>
      <c r="C40" s="579"/>
      <c r="D40" s="577"/>
      <c r="E40" s="577"/>
      <c r="F40" s="938" t="str">
        <f t="shared" si="1"/>
        <v/>
      </c>
      <c r="G40" s="186"/>
      <c r="H40" s="501" t="str" cm="1">
        <f t="array" ref="H40">IFERROR((_xlfn.IFS(G40=$T$11,"3",G40=$T$12,"2",G40=$T$13,"1",G40=$T$14,"1"))*E40,"")</f>
        <v/>
      </c>
      <c r="I40" s="212"/>
      <c r="J40" s="1121" t="str">
        <f>IFERROR(VLOOKUP($B40&amp;"|"&amp;$D40,'Carbon factors'!$AR$7:$AS$87,2,0),"")</f>
        <v/>
      </c>
      <c r="K40" s="501" t="str">
        <f t="shared" si="0"/>
        <v/>
      </c>
      <c r="L40" s="181" t="s">
        <v>192</v>
      </c>
      <c r="N40" s="1297" t="str">
        <f>IFERROR((IF($D40="passenger.km",((VLOOKUP($B40&amp;"|"&amp;$D40,'Carbon factors'!$AR$7:$AU$87,3,0))*$C40*$E40),($E40*(VLOOKUP($B40&amp;"|"&amp;$D40,'Carbon factors'!$AR$7:$AU$87,3,0))))),"")</f>
        <v/>
      </c>
      <c r="O40" s="183" t="str">
        <f>IFERROR(IF($D40="passenger.km",((VLOOKUP($B40&amp;"|"&amp;$D40,'Carbon factors'!$AR$7:$AU$87,4,0))*$C40*$E40),($E40*(VLOOKUP($B40&amp;"|"&amp;$D40,'Carbon factors'!$AR$7:$AU$87,4,0)))),"")</f>
        <v/>
      </c>
      <c r="P40" s="1296" t="str">
        <f>IFERROR(IF($D40="passenger.km",((VLOOKUP($B40&amp;"|"&amp;$D40,'Carbon factors'!$AR$7:$AV$87,5,0))*$C40*$E40),($E40*(VLOOKUP($B40&amp;"|"&amp;$D40,'Carbon factors'!$AR$7:$AV$87,5,0)))),"")</f>
        <v/>
      </c>
    </row>
    <row r="41" spans="1:20" x14ac:dyDescent="0.35">
      <c r="A41" s="898"/>
      <c r="B41" s="579"/>
      <c r="C41" s="579"/>
      <c r="D41" s="577"/>
      <c r="E41" s="577"/>
      <c r="F41" s="938" t="str">
        <f t="shared" si="1"/>
        <v/>
      </c>
      <c r="G41" s="186"/>
      <c r="H41" s="501" t="str" cm="1">
        <f t="array" ref="H41">IFERROR((_xlfn.IFS(G41=$T$11,"3",G41=$T$12,"2",G41=$T$13,"1",G41=$T$14,"1"))*E41,"")</f>
        <v/>
      </c>
      <c r="I41" s="212"/>
      <c r="J41" s="1121" t="str">
        <f>IFERROR(VLOOKUP($B41&amp;"|"&amp;$D41,'Carbon factors'!$AR$7:$AS$87,2,0),"")</f>
        <v/>
      </c>
      <c r="K41" s="501" t="str">
        <f t="shared" si="0"/>
        <v/>
      </c>
      <c r="L41" s="181" t="s">
        <v>192</v>
      </c>
      <c r="N41" s="1297" t="str">
        <f>IFERROR((IF($D41="passenger.km",((VLOOKUP($B41&amp;"|"&amp;$D41,'Carbon factors'!$AR$7:$AU$87,3,0))*$C41*$E41),($E41*(VLOOKUP($B41&amp;"|"&amp;$D41,'Carbon factors'!$AR$7:$AU$87,3,0))))),"")</f>
        <v/>
      </c>
      <c r="O41" s="183" t="str">
        <f>IFERROR(IF($D41="passenger.km",((VLOOKUP($B41&amp;"|"&amp;$D41,'Carbon factors'!$AR$7:$AU$87,4,0))*$C41*$E41),($E41*(VLOOKUP($B41&amp;"|"&amp;$D41,'Carbon factors'!$AR$7:$AU$87,4,0)))),"")</f>
        <v/>
      </c>
      <c r="P41" s="1296" t="str">
        <f>IFERROR(IF($D41="passenger.km",((VLOOKUP($B41&amp;"|"&amp;$D41,'Carbon factors'!$AR$7:$AV$87,5,0))*$C41*$E41),($E41*(VLOOKUP($B41&amp;"|"&amp;$D41,'Carbon factors'!$AR$7:$AV$87,5,0)))),"")</f>
        <v/>
      </c>
    </row>
    <row r="42" spans="1:20" x14ac:dyDescent="0.35">
      <c r="A42" s="898"/>
      <c r="B42" s="579"/>
      <c r="C42" s="579"/>
      <c r="D42" s="577"/>
      <c r="E42" s="577"/>
      <c r="F42" s="938" t="str">
        <f t="shared" si="1"/>
        <v/>
      </c>
      <c r="G42" s="186"/>
      <c r="H42" s="501" t="str" cm="1">
        <f t="array" ref="H42">IFERROR((_xlfn.IFS(G42=$T$11,"3",G42=$T$12,"2",G42=$T$13,"1",G42=$T$14,"1"))*E42,"")</f>
        <v/>
      </c>
      <c r="I42" s="212"/>
      <c r="J42" s="1121" t="str">
        <f>IFERROR(VLOOKUP($B42&amp;"|"&amp;$D42,'Carbon factors'!$AR$7:$AS$87,2,0),"")</f>
        <v/>
      </c>
      <c r="K42" s="501" t="str">
        <f t="shared" si="0"/>
        <v/>
      </c>
      <c r="L42" s="181" t="s">
        <v>192</v>
      </c>
      <c r="N42" s="1297" t="str">
        <f>IFERROR((IF($D42="passenger.km",((VLOOKUP($B42&amp;"|"&amp;$D42,'Carbon factors'!$AR$7:$AU$87,3,0))*$C42*$E42),($E42*(VLOOKUP($B42&amp;"|"&amp;$D42,'Carbon factors'!$AR$7:$AU$87,3,0))))),"")</f>
        <v/>
      </c>
      <c r="O42" s="183" t="str">
        <f>IFERROR(IF($D42="passenger.km",((VLOOKUP($B42&amp;"|"&amp;$D42,'Carbon factors'!$AR$7:$AU$87,4,0))*$C42*$E42),($E42*(VLOOKUP($B42&amp;"|"&amp;$D42,'Carbon factors'!$AR$7:$AU$87,4,0)))),"")</f>
        <v/>
      </c>
      <c r="P42" s="1296" t="str">
        <f>IFERROR(IF($D42="passenger.km",((VLOOKUP($B42&amp;"|"&amp;$D42,'Carbon factors'!$AR$7:$AV$87,5,0))*$C42*$E42),($E42*(VLOOKUP($B42&amp;"|"&amp;$D42,'Carbon factors'!$AR$7:$AV$87,5,0)))),"")</f>
        <v/>
      </c>
    </row>
    <row r="43" spans="1:20" x14ac:dyDescent="0.35">
      <c r="A43" s="898"/>
      <c r="B43" s="579"/>
      <c r="C43" s="579"/>
      <c r="D43" s="577"/>
      <c r="E43" s="577"/>
      <c r="F43" s="938" t="str">
        <f t="shared" si="1"/>
        <v/>
      </c>
      <c r="G43" s="186"/>
      <c r="H43" s="501" t="str" cm="1">
        <f t="array" ref="H43">IFERROR((_xlfn.IFS(G43=$T$11,"3",G43=$T$12,"2",G43=$T$13,"1",G43=$T$14,"1"))*E43,"")</f>
        <v/>
      </c>
      <c r="I43" s="212"/>
      <c r="J43" s="1121" t="str">
        <f>IFERROR(VLOOKUP($B43&amp;"|"&amp;$D43,'Carbon factors'!$AR$7:$AS$87,2,0),"")</f>
        <v/>
      </c>
      <c r="K43" s="501" t="str">
        <f t="shared" si="0"/>
        <v/>
      </c>
      <c r="L43" s="181" t="s">
        <v>192</v>
      </c>
      <c r="N43" s="1297" t="str">
        <f>IFERROR((IF($D43="passenger.km",((VLOOKUP($B43&amp;"|"&amp;$D43,'Carbon factors'!$AR$7:$AU$87,3,0))*$C43*$E43),($E43*(VLOOKUP($B43&amp;"|"&amp;$D43,'Carbon factors'!$AR$7:$AU$87,3,0))))),"")</f>
        <v/>
      </c>
      <c r="O43" s="183" t="str">
        <f>IFERROR(IF($D43="passenger.km",((VLOOKUP($B43&amp;"|"&amp;$D43,'Carbon factors'!$AR$7:$AU$87,4,0))*$C43*$E43),($E43*(VLOOKUP($B43&amp;"|"&amp;$D43,'Carbon factors'!$AR$7:$AU$87,4,0)))),"")</f>
        <v/>
      </c>
      <c r="P43" s="1296" t="str">
        <f>IFERROR(IF($D43="passenger.km",((VLOOKUP($B43&amp;"|"&amp;$D43,'Carbon factors'!$AR$7:$AV$87,5,0))*$C43*$E43),($E43*(VLOOKUP($B43&amp;"|"&amp;$D43,'Carbon factors'!$AR$7:$AV$87,5,0)))),"")</f>
        <v/>
      </c>
    </row>
    <row r="44" spans="1:20" x14ac:dyDescent="0.35">
      <c r="A44" s="898"/>
      <c r="B44" s="579"/>
      <c r="C44" s="579"/>
      <c r="D44" s="577"/>
      <c r="E44" s="577"/>
      <c r="F44" s="938" t="str">
        <f t="shared" si="1"/>
        <v/>
      </c>
      <c r="G44" s="186"/>
      <c r="H44" s="501" t="str" cm="1">
        <f t="array" ref="H44">IFERROR((_xlfn.IFS(G44=$T$11,"3",G44=$T$12,"2",G44=$T$13,"1",G44=$T$14,"1"))*E44,"")</f>
        <v/>
      </c>
      <c r="I44" s="212"/>
      <c r="J44" s="1121" t="str">
        <f>IFERROR(VLOOKUP($B44&amp;"|"&amp;$D44,'Carbon factors'!$AR$7:$AS$87,2,0),"")</f>
        <v/>
      </c>
      <c r="K44" s="501" t="str">
        <f t="shared" si="0"/>
        <v/>
      </c>
      <c r="L44" s="181" t="s">
        <v>192</v>
      </c>
      <c r="N44" s="1297" t="str">
        <f>IFERROR((IF($D44="passenger.km",((VLOOKUP($B44&amp;"|"&amp;$D44,'Carbon factors'!$AR$7:$AU$87,3,0))*$C44*$E44),($E44*(VLOOKUP($B44&amp;"|"&amp;$D44,'Carbon factors'!$AR$7:$AU$87,3,0))))),"")</f>
        <v/>
      </c>
      <c r="O44" s="183" t="str">
        <f>IFERROR(IF($D44="passenger.km",((VLOOKUP($B44&amp;"|"&amp;$D44,'Carbon factors'!$AR$7:$AU$87,4,0))*$C44*$E44),($E44*(VLOOKUP($B44&amp;"|"&amp;$D44,'Carbon factors'!$AR$7:$AU$87,4,0)))),"")</f>
        <v/>
      </c>
      <c r="P44" s="1296" t="str">
        <f>IFERROR(IF($D44="passenger.km",((VLOOKUP($B44&amp;"|"&amp;$D44,'Carbon factors'!$AR$7:$AV$87,5,0))*$C44*$E44),($E44*(VLOOKUP($B44&amp;"|"&amp;$D44,'Carbon factors'!$AR$7:$AV$87,5,0)))),"")</f>
        <v/>
      </c>
    </row>
    <row r="45" spans="1:20" x14ac:dyDescent="0.35">
      <c r="A45" s="898"/>
      <c r="B45" s="579"/>
      <c r="C45" s="579"/>
      <c r="D45" s="577"/>
      <c r="E45" s="577"/>
      <c r="F45" s="938" t="str">
        <f t="shared" si="1"/>
        <v/>
      </c>
      <c r="G45" s="186"/>
      <c r="H45" s="501" t="str" cm="1">
        <f t="array" ref="H45">IFERROR((_xlfn.IFS(G45=$T$11,"3",G45=$T$12,"2",G45=$T$13,"1",G45=$T$14,"1"))*E45,"")</f>
        <v/>
      </c>
      <c r="I45" s="212"/>
      <c r="J45" s="1121" t="str">
        <f>IFERROR(VLOOKUP($B45&amp;"|"&amp;$D45,'Carbon factors'!$AR$7:$AS$87,2,0),"")</f>
        <v/>
      </c>
      <c r="K45" s="501" t="str">
        <f t="shared" si="0"/>
        <v/>
      </c>
      <c r="L45" s="181" t="s">
        <v>192</v>
      </c>
      <c r="N45" s="1297" t="str">
        <f>IFERROR((IF($D45="passenger.km",((VLOOKUP($B45&amp;"|"&amp;$D45,'Carbon factors'!$AR$7:$AU$87,3,0))*$C45*$E45),($E45*(VLOOKUP($B45&amp;"|"&amp;$D45,'Carbon factors'!$AR$7:$AU$87,3,0))))),"")</f>
        <v/>
      </c>
      <c r="O45" s="183" t="str">
        <f>IFERROR(IF($D45="passenger.km",((VLOOKUP($B45&amp;"|"&amp;$D45,'Carbon factors'!$AR$7:$AU$87,4,0))*$C45*$E45),($E45*(VLOOKUP($B45&amp;"|"&amp;$D45,'Carbon factors'!$AR$7:$AU$87,4,0)))),"")</f>
        <v/>
      </c>
      <c r="P45" s="1296" t="str">
        <f>IFERROR(IF($D45="passenger.km",((VLOOKUP($B45&amp;"|"&amp;$D45,'Carbon factors'!$AR$7:$AV$87,5,0))*$C45*$E45),($E45*(VLOOKUP($B45&amp;"|"&amp;$D45,'Carbon factors'!$AR$7:$AV$87,5,0)))),"")</f>
        <v/>
      </c>
    </row>
    <row r="46" spans="1:20" x14ac:dyDescent="0.35">
      <c r="A46" s="898"/>
      <c r="B46" s="579"/>
      <c r="C46" s="579"/>
      <c r="D46" s="577"/>
      <c r="E46" s="577"/>
      <c r="F46" s="938" t="str">
        <f t="shared" si="1"/>
        <v/>
      </c>
      <c r="G46" s="186"/>
      <c r="H46" s="501" t="str" cm="1">
        <f t="array" ref="H46">IFERROR((_xlfn.IFS(G46=$T$11,"3",G46=$T$12,"2",G46=$T$13,"1",G46=$T$14,"1"))*E46,"")</f>
        <v/>
      </c>
      <c r="I46" s="212"/>
      <c r="J46" s="1121" t="str">
        <f>IFERROR(VLOOKUP($B46&amp;"|"&amp;$D46,'Carbon factors'!$AR$7:$AS$87,2,0),"")</f>
        <v/>
      </c>
      <c r="K46" s="501" t="str">
        <f t="shared" si="0"/>
        <v/>
      </c>
      <c r="L46" s="181" t="s">
        <v>192</v>
      </c>
      <c r="N46" s="1297" t="str">
        <f>IFERROR((IF($D46="passenger.km",((VLOOKUP($B46&amp;"|"&amp;$D46,'Carbon factors'!$AR$7:$AU$87,3,0))*$C46*$E46),($E46*(VLOOKUP($B46&amp;"|"&amp;$D46,'Carbon factors'!$AR$7:$AU$87,3,0))))),"")</f>
        <v/>
      </c>
      <c r="O46" s="183" t="str">
        <f>IFERROR(IF($D46="passenger.km",((VLOOKUP($B46&amp;"|"&amp;$D46,'Carbon factors'!$AR$7:$AU$87,4,0))*$C46*$E46),($E46*(VLOOKUP($B46&amp;"|"&amp;$D46,'Carbon factors'!$AR$7:$AU$87,4,0)))),"")</f>
        <v/>
      </c>
      <c r="P46" s="1296" t="str">
        <f>IFERROR(IF($D46="passenger.km",((VLOOKUP($B46&amp;"|"&amp;$D46,'Carbon factors'!$AR$7:$AV$87,5,0))*$C46*$E46),($E46*(VLOOKUP($B46&amp;"|"&amp;$D46,'Carbon factors'!$AR$7:$AV$87,5,0)))),"")</f>
        <v/>
      </c>
    </row>
    <row r="47" spans="1:20" x14ac:dyDescent="0.35">
      <c r="A47" s="898"/>
      <c r="B47" s="579"/>
      <c r="C47" s="579"/>
      <c r="D47" s="577"/>
      <c r="E47" s="577"/>
      <c r="F47" s="938" t="str">
        <f t="shared" si="1"/>
        <v/>
      </c>
      <c r="G47" s="186"/>
      <c r="H47" s="501" t="str" cm="1">
        <f t="array" ref="H47">IFERROR((_xlfn.IFS(G47=$T$11,"3",G47=$T$12,"2",G47=$T$13,"1",G47=$T$14,"1"))*E47,"")</f>
        <v/>
      </c>
      <c r="I47" s="212"/>
      <c r="J47" s="1121" t="str">
        <f>IFERROR(VLOOKUP($B47&amp;"|"&amp;$D47,'Carbon factors'!$AR$7:$AS$87,2,0),"")</f>
        <v/>
      </c>
      <c r="K47" s="501" t="str">
        <f t="shared" si="0"/>
        <v/>
      </c>
      <c r="L47" s="181" t="s">
        <v>192</v>
      </c>
      <c r="N47" s="1297" t="str">
        <f>IFERROR((IF($D47="passenger.km",((VLOOKUP($B47&amp;"|"&amp;$D47,'Carbon factors'!$AR$7:$AU$87,3,0))*$C47*$E47),($E47*(VLOOKUP($B47&amp;"|"&amp;$D47,'Carbon factors'!$AR$7:$AU$87,3,0))))),"")</f>
        <v/>
      </c>
      <c r="O47" s="183" t="str">
        <f>IFERROR(IF($D47="passenger.km",((VLOOKUP($B47&amp;"|"&amp;$D47,'Carbon factors'!$AR$7:$AU$87,4,0))*$C47*$E47),($E47*(VLOOKUP($B47&amp;"|"&amp;$D47,'Carbon factors'!$AR$7:$AU$87,4,0)))),"")</f>
        <v/>
      </c>
      <c r="P47" s="1296" t="str">
        <f>IFERROR(IF($D47="passenger.km",((VLOOKUP($B47&amp;"|"&amp;$D47,'Carbon factors'!$AR$7:$AV$87,5,0))*$C47*$E47),($E47*(VLOOKUP($B47&amp;"|"&amp;$D47,'Carbon factors'!$AR$7:$AV$87,5,0)))),"")</f>
        <v/>
      </c>
    </row>
    <row r="48" spans="1:20" x14ac:dyDescent="0.35">
      <c r="A48" s="898"/>
      <c r="B48" s="579"/>
      <c r="C48" s="579"/>
      <c r="D48" s="577"/>
      <c r="E48" s="577"/>
      <c r="F48" s="938" t="str">
        <f t="shared" si="1"/>
        <v/>
      </c>
      <c r="G48" s="186"/>
      <c r="H48" s="501" t="str" cm="1">
        <f t="array" ref="H48">IFERROR((_xlfn.IFS(G48=$T$11,"3",G48=$T$12,"2",G48=$T$13,"1",G48=$T$14,"1"))*E48,"")</f>
        <v/>
      </c>
      <c r="I48" s="212"/>
      <c r="J48" s="1121" t="str">
        <f>IFERROR(VLOOKUP($B48&amp;"|"&amp;$D48,'Carbon factors'!$AR$7:$AS$87,2,0),"")</f>
        <v/>
      </c>
      <c r="K48" s="501" t="str">
        <f t="shared" si="0"/>
        <v/>
      </c>
      <c r="L48" s="181" t="s">
        <v>192</v>
      </c>
      <c r="N48" s="1297" t="str">
        <f>IFERROR((IF($D48="passenger.km",((VLOOKUP($B48&amp;"|"&amp;$D48,'Carbon factors'!$AR$7:$AU$87,3,0))*$C48*$E48),($E48*(VLOOKUP($B48&amp;"|"&amp;$D48,'Carbon factors'!$AR$7:$AU$87,3,0))))),"")</f>
        <v/>
      </c>
      <c r="O48" s="183" t="str">
        <f>IFERROR(IF($D48="passenger.km",((VLOOKUP($B48&amp;"|"&amp;$D48,'Carbon factors'!$AR$7:$AU$87,4,0))*$C48*$E48),($E48*(VLOOKUP($B48&amp;"|"&amp;$D48,'Carbon factors'!$AR$7:$AU$87,4,0)))),"")</f>
        <v/>
      </c>
      <c r="P48" s="1296" t="str">
        <f>IFERROR(IF($D48="passenger.km",((VLOOKUP($B48&amp;"|"&amp;$D48,'Carbon factors'!$AR$7:$AV$87,5,0))*$C48*$E48),($E48*(VLOOKUP($B48&amp;"|"&amp;$D48,'Carbon factors'!$AR$7:$AV$87,5,0)))),"")</f>
        <v/>
      </c>
    </row>
    <row r="49" spans="1:16" x14ac:dyDescent="0.35">
      <c r="A49" s="898"/>
      <c r="B49" s="579"/>
      <c r="C49" s="579"/>
      <c r="D49" s="577"/>
      <c r="E49" s="577"/>
      <c r="F49" s="938" t="str">
        <f t="shared" si="1"/>
        <v/>
      </c>
      <c r="G49" s="186"/>
      <c r="H49" s="501" t="str" cm="1">
        <f t="array" ref="H49">IFERROR((_xlfn.IFS(G49=$T$11,"3",G49=$T$12,"2",G49=$T$13,"1",G49=$T$14,"1"))*E49,"")</f>
        <v/>
      </c>
      <c r="I49" s="212"/>
      <c r="J49" s="1121" t="str">
        <f>IFERROR(VLOOKUP($B49&amp;"|"&amp;$D49,'Carbon factors'!$AR$7:$AS$87,2,0),"")</f>
        <v/>
      </c>
      <c r="K49" s="501" t="str">
        <f t="shared" si="0"/>
        <v/>
      </c>
      <c r="L49" s="181" t="s">
        <v>192</v>
      </c>
      <c r="N49" s="1297" t="str">
        <f>IFERROR((IF($D49="passenger.km",((VLOOKUP($B49&amp;"|"&amp;$D49,'Carbon factors'!$AR$7:$AU$87,3,0))*$C49*$E49),($E49*(VLOOKUP($B49&amp;"|"&amp;$D49,'Carbon factors'!$AR$7:$AU$87,3,0))))),"")</f>
        <v/>
      </c>
      <c r="O49" s="183" t="str">
        <f>IFERROR(IF($D49="passenger.km",((VLOOKUP($B49&amp;"|"&amp;$D49,'Carbon factors'!$AR$7:$AU$87,4,0))*$C49*$E49),($E49*(VLOOKUP($B49&amp;"|"&amp;$D49,'Carbon factors'!$AR$7:$AU$87,4,0)))),"")</f>
        <v/>
      </c>
      <c r="P49" s="1296" t="str">
        <f>IFERROR(IF($D49="passenger.km",((VLOOKUP($B49&amp;"|"&amp;$D49,'Carbon factors'!$AR$7:$AV$87,5,0))*$C49*$E49),($E49*(VLOOKUP($B49&amp;"|"&amp;$D49,'Carbon factors'!$AR$7:$AV$87,5,0)))),"")</f>
        <v/>
      </c>
    </row>
    <row r="50" spans="1:16" x14ac:dyDescent="0.35">
      <c r="A50" s="898"/>
      <c r="B50" s="579"/>
      <c r="C50" s="579"/>
      <c r="D50" s="577"/>
      <c r="E50" s="577"/>
      <c r="F50" s="938" t="str">
        <f t="shared" si="1"/>
        <v/>
      </c>
      <c r="G50" s="186"/>
      <c r="H50" s="501" t="str" cm="1">
        <f t="array" ref="H50">IFERROR((_xlfn.IFS(G50=$T$11,"3",G50=$T$12,"2",G50=$T$13,"1",G50=$T$14,"1"))*E50,"")</f>
        <v/>
      </c>
      <c r="I50" s="212"/>
      <c r="J50" s="1121" t="str">
        <f>IFERROR(VLOOKUP($B50&amp;"|"&amp;$D50,'Carbon factors'!$AR$7:$AS$87,2,0),"")</f>
        <v/>
      </c>
      <c r="K50" s="501" t="str">
        <f t="shared" si="0"/>
        <v/>
      </c>
      <c r="L50" s="181" t="s">
        <v>192</v>
      </c>
      <c r="N50" s="1297" t="str">
        <f>IFERROR((IF($D50="passenger.km",((VLOOKUP($B50&amp;"|"&amp;$D50,'Carbon factors'!$AR$7:$AU$87,3,0))*$C50*$E50),($E50*(VLOOKUP($B50&amp;"|"&amp;$D50,'Carbon factors'!$AR$7:$AU$87,3,0))))),"")</f>
        <v/>
      </c>
      <c r="O50" s="183" t="str">
        <f>IFERROR(IF($D50="passenger.km",((VLOOKUP($B50&amp;"|"&amp;$D50,'Carbon factors'!$AR$7:$AU$87,4,0))*$C50*$E50),($E50*(VLOOKUP($B50&amp;"|"&amp;$D50,'Carbon factors'!$AR$7:$AU$87,4,0)))),"")</f>
        <v/>
      </c>
      <c r="P50" s="1296" t="str">
        <f>IFERROR(IF($D50="passenger.km",((VLOOKUP($B50&amp;"|"&amp;$D50,'Carbon factors'!$AR$7:$AV$87,5,0))*$C50*$E50),($E50*(VLOOKUP($B50&amp;"|"&amp;$D50,'Carbon factors'!$AR$7:$AV$87,5,0)))),"")</f>
        <v/>
      </c>
    </row>
    <row r="51" spans="1:16" x14ac:dyDescent="0.35">
      <c r="A51" s="898"/>
      <c r="B51" s="579"/>
      <c r="C51" s="579"/>
      <c r="D51" s="577"/>
      <c r="E51" s="577"/>
      <c r="F51" s="938" t="str">
        <f t="shared" si="1"/>
        <v/>
      </c>
      <c r="G51" s="186"/>
      <c r="H51" s="501" t="str" cm="1">
        <f t="array" ref="H51">IFERROR((_xlfn.IFS(G51=$T$11,"3",G51=$T$12,"2",G51=$T$13,"1",G51=$T$14,"1"))*E51,"")</f>
        <v/>
      </c>
      <c r="I51" s="212"/>
      <c r="J51" s="1121" t="str">
        <f>IFERROR(VLOOKUP($B51&amp;"|"&amp;$D51,'Carbon factors'!$AR$7:$AS$87,2,0),"")</f>
        <v/>
      </c>
      <c r="K51" s="501" t="str">
        <f t="shared" si="0"/>
        <v/>
      </c>
      <c r="L51" s="181" t="s">
        <v>192</v>
      </c>
      <c r="N51" s="1297" t="str">
        <f>IFERROR((IF($D51="passenger.km",((VLOOKUP($B51&amp;"|"&amp;$D51,'Carbon factors'!$AR$7:$AU$87,3,0))*$C51*$E51),($E51*(VLOOKUP($B51&amp;"|"&amp;$D51,'Carbon factors'!$AR$7:$AU$87,3,0))))),"")</f>
        <v/>
      </c>
      <c r="O51" s="183" t="str">
        <f>IFERROR(IF($D51="passenger.km",((VLOOKUP($B51&amp;"|"&amp;$D51,'Carbon factors'!$AR$7:$AU$87,4,0))*$C51*$E51),($E51*(VLOOKUP($B51&amp;"|"&amp;$D51,'Carbon factors'!$AR$7:$AU$87,4,0)))),"")</f>
        <v/>
      </c>
      <c r="P51" s="1296" t="str">
        <f>IFERROR(IF($D51="passenger.km",((VLOOKUP($B51&amp;"|"&amp;$D51,'Carbon factors'!$AR$7:$AV$87,5,0))*$C51*$E51),($E51*(VLOOKUP($B51&amp;"|"&amp;$D51,'Carbon factors'!$AR$7:$AV$87,5,0)))),"")</f>
        <v/>
      </c>
    </row>
    <row r="52" spans="1:16" x14ac:dyDescent="0.35">
      <c r="A52" s="898"/>
      <c r="B52" s="579"/>
      <c r="C52" s="579"/>
      <c r="D52" s="577"/>
      <c r="E52" s="577"/>
      <c r="F52" s="938" t="str">
        <f t="shared" si="1"/>
        <v/>
      </c>
      <c r="G52" s="186"/>
      <c r="H52" s="501" t="str" cm="1">
        <f t="array" ref="H52">IFERROR((_xlfn.IFS(G52=$T$11,"3",G52=$T$12,"2",G52=$T$13,"1",G52=$T$14,"1"))*E52,"")</f>
        <v/>
      </c>
      <c r="I52" s="212"/>
      <c r="J52" s="1121" t="str">
        <f>IFERROR(VLOOKUP($B52&amp;"|"&amp;$D52,'Carbon factors'!$AR$7:$AS$87,2,0),"")</f>
        <v/>
      </c>
      <c r="K52" s="501" t="str">
        <f t="shared" si="0"/>
        <v/>
      </c>
      <c r="L52" s="181" t="s">
        <v>192</v>
      </c>
      <c r="N52" s="1297" t="str">
        <f>IFERROR((IF($D52="passenger.km",((VLOOKUP($B52&amp;"|"&amp;$D52,'Carbon factors'!$AR$7:$AU$87,3,0))*$C52*$E52),($E52*(VLOOKUP($B52&amp;"|"&amp;$D52,'Carbon factors'!$AR$7:$AU$87,3,0))))),"")</f>
        <v/>
      </c>
      <c r="O52" s="183" t="str">
        <f>IFERROR(IF($D52="passenger.km",((VLOOKUP($B52&amp;"|"&amp;$D52,'Carbon factors'!$AR$7:$AU$87,4,0))*$C52*$E52),($E52*(VLOOKUP($B52&amp;"|"&amp;$D52,'Carbon factors'!$AR$7:$AU$87,4,0)))),"")</f>
        <v/>
      </c>
      <c r="P52" s="1296" t="str">
        <f>IFERROR(IF($D52="passenger.km",((VLOOKUP($B52&amp;"|"&amp;$D52,'Carbon factors'!$AR$7:$AV$87,5,0))*$C52*$E52),($E52*(VLOOKUP($B52&amp;"|"&amp;$D52,'Carbon factors'!$AR$7:$AV$87,5,0)))),"")</f>
        <v/>
      </c>
    </row>
    <row r="53" spans="1:16" x14ac:dyDescent="0.35">
      <c r="A53" s="898"/>
      <c r="B53" s="579"/>
      <c r="C53" s="579"/>
      <c r="D53" s="577"/>
      <c r="E53" s="577"/>
      <c r="F53" s="938" t="str">
        <f t="shared" si="1"/>
        <v/>
      </c>
      <c r="G53" s="186"/>
      <c r="H53" s="501" t="str" cm="1">
        <f t="array" ref="H53">IFERROR((_xlfn.IFS(G53=$T$11,"3",G53=$T$12,"2",G53=$T$13,"1",G53=$T$14,"1"))*E53,"")</f>
        <v/>
      </c>
      <c r="I53" s="212"/>
      <c r="J53" s="1121" t="str">
        <f>IFERROR(VLOOKUP($B53&amp;"|"&amp;$D53,'Carbon factors'!$AR$7:$AS$87,2,0),"")</f>
        <v/>
      </c>
      <c r="K53" s="501" t="str">
        <f t="shared" si="0"/>
        <v/>
      </c>
      <c r="L53" s="181" t="s">
        <v>192</v>
      </c>
      <c r="N53" s="1297" t="str">
        <f>IFERROR((IF($D53="passenger.km",((VLOOKUP($B53&amp;"|"&amp;$D53,'Carbon factors'!$AR$7:$AU$87,3,0))*$C53*$E53),($E53*(VLOOKUP($B53&amp;"|"&amp;$D53,'Carbon factors'!$AR$7:$AU$87,3,0))))),"")</f>
        <v/>
      </c>
      <c r="O53" s="183" t="str">
        <f>IFERROR(IF($D53="passenger.km",((VLOOKUP($B53&amp;"|"&amp;$D53,'Carbon factors'!$AR$7:$AU$87,4,0))*$C53*$E53),($E53*(VLOOKUP($B53&amp;"|"&amp;$D53,'Carbon factors'!$AR$7:$AU$87,4,0)))),"")</f>
        <v/>
      </c>
      <c r="P53" s="1296" t="str">
        <f>IFERROR(IF($D53="passenger.km",((VLOOKUP($B53&amp;"|"&amp;$D53,'Carbon factors'!$AR$7:$AV$87,5,0))*$C53*$E53),($E53*(VLOOKUP($B53&amp;"|"&amp;$D53,'Carbon factors'!$AR$7:$AV$87,5,0)))),"")</f>
        <v/>
      </c>
    </row>
    <row r="54" spans="1:16" x14ac:dyDescent="0.35">
      <c r="A54" s="898"/>
      <c r="B54" s="579"/>
      <c r="C54" s="579"/>
      <c r="D54" s="577"/>
      <c r="E54" s="577"/>
      <c r="F54" s="938" t="str">
        <f t="shared" si="1"/>
        <v/>
      </c>
      <c r="G54" s="186"/>
      <c r="H54" s="501" t="str" cm="1">
        <f t="array" ref="H54">IFERROR((_xlfn.IFS(G54=$T$11,"3",G54=$T$12,"2",G54=$T$13,"1",G54=$T$14,"1"))*E54,"")</f>
        <v/>
      </c>
      <c r="I54" s="212"/>
      <c r="J54" s="1121" t="str">
        <f>IFERROR(VLOOKUP($B54&amp;"|"&amp;$D54,'Carbon factors'!$AR$7:$AS$87,2,0),"")</f>
        <v/>
      </c>
      <c r="K54" s="501" t="str">
        <f t="shared" si="0"/>
        <v/>
      </c>
      <c r="L54" s="181" t="s">
        <v>192</v>
      </c>
      <c r="N54" s="1297" t="str">
        <f>IFERROR((IF($D54="passenger.km",((VLOOKUP($B54&amp;"|"&amp;$D54,'Carbon factors'!$AR$7:$AU$87,3,0))*$C54*$E54),($E54*(VLOOKUP($B54&amp;"|"&amp;$D54,'Carbon factors'!$AR$7:$AU$87,3,0))))),"")</f>
        <v/>
      </c>
      <c r="O54" s="183" t="str">
        <f>IFERROR(IF($D54="passenger.km",((VLOOKUP($B54&amp;"|"&amp;$D54,'Carbon factors'!$AR$7:$AU$87,4,0))*$C54*$E54),($E54*(VLOOKUP($B54&amp;"|"&amp;$D54,'Carbon factors'!$AR$7:$AU$87,4,0)))),"")</f>
        <v/>
      </c>
      <c r="P54" s="1296" t="str">
        <f>IFERROR(IF($D54="passenger.km",((VLOOKUP($B54&amp;"|"&amp;$D54,'Carbon factors'!$AR$7:$AV$87,5,0))*$C54*$E54),($E54*(VLOOKUP($B54&amp;"|"&amp;$D54,'Carbon factors'!$AR$7:$AV$87,5,0)))),"")</f>
        <v/>
      </c>
    </row>
    <row r="55" spans="1:16" x14ac:dyDescent="0.35">
      <c r="A55" s="898"/>
      <c r="B55" s="579"/>
      <c r="C55" s="579"/>
      <c r="D55" s="577"/>
      <c r="E55" s="577"/>
      <c r="F55" s="938" t="str">
        <f t="shared" si="1"/>
        <v/>
      </c>
      <c r="G55" s="186"/>
      <c r="H55" s="501" t="str" cm="1">
        <f t="array" ref="H55">IFERROR((_xlfn.IFS(G55=$T$11,"3",G55=$T$12,"2",G55=$T$13,"1",G55=$T$14,"1"))*E55,"")</f>
        <v/>
      </c>
      <c r="I55" s="212"/>
      <c r="J55" s="1121" t="str">
        <f>IFERROR(VLOOKUP($B55&amp;"|"&amp;$D55,'Carbon factors'!$AR$7:$AS$87,2,0),"")</f>
        <v/>
      </c>
      <c r="K55" s="501" t="str">
        <f t="shared" si="0"/>
        <v/>
      </c>
      <c r="L55" s="181" t="s">
        <v>192</v>
      </c>
      <c r="N55" s="1297" t="str">
        <f>IFERROR((IF($D55="passenger.km",((VLOOKUP($B55&amp;"|"&amp;$D55,'Carbon factors'!$AR$7:$AU$87,3,0))*$C55*$E55),($E55*(VLOOKUP($B55&amp;"|"&amp;$D55,'Carbon factors'!$AR$7:$AU$87,3,0))))),"")</f>
        <v/>
      </c>
      <c r="O55" s="183" t="str">
        <f>IFERROR(IF($D55="passenger.km",((VLOOKUP($B55&amp;"|"&amp;$D55,'Carbon factors'!$AR$7:$AU$87,4,0))*$C55*$E55),($E55*(VLOOKUP($B55&amp;"|"&amp;$D55,'Carbon factors'!$AR$7:$AU$87,4,0)))),"")</f>
        <v/>
      </c>
      <c r="P55" s="1296" t="str">
        <f>IFERROR(IF($D55="passenger.km",((VLOOKUP($B55&amp;"|"&amp;$D55,'Carbon factors'!$AR$7:$AV$87,5,0))*$C55*$E55),($E55*(VLOOKUP($B55&amp;"|"&amp;$D55,'Carbon factors'!$AR$7:$AV$87,5,0)))),"")</f>
        <v/>
      </c>
    </row>
    <row r="56" spans="1:16" x14ac:dyDescent="0.35">
      <c r="A56" s="898"/>
      <c r="B56" s="579"/>
      <c r="C56" s="579"/>
      <c r="D56" s="577"/>
      <c r="E56" s="577"/>
      <c r="F56" s="938" t="str">
        <f t="shared" si="1"/>
        <v/>
      </c>
      <c r="G56" s="186"/>
      <c r="H56" s="501" t="str" cm="1">
        <f t="array" ref="H56">IFERROR((_xlfn.IFS(G56=$T$11,"3",G56=$T$12,"2",G56=$T$13,"1",G56=$T$14,"1"))*E56,"")</f>
        <v/>
      </c>
      <c r="I56" s="212"/>
      <c r="J56" s="1121" t="str">
        <f>IFERROR(VLOOKUP($B56&amp;"|"&amp;$D56,'Carbon factors'!$AR$7:$AS$87,2,0),"")</f>
        <v/>
      </c>
      <c r="K56" s="501" t="str">
        <f t="shared" si="0"/>
        <v/>
      </c>
      <c r="L56" s="181" t="s">
        <v>192</v>
      </c>
      <c r="N56" s="1297" t="str">
        <f>IFERROR((IF($D56="passenger.km",((VLOOKUP($B56&amp;"|"&amp;$D56,'Carbon factors'!$AR$7:$AU$87,3,0))*$C56*$E56),($E56*(VLOOKUP($B56&amp;"|"&amp;$D56,'Carbon factors'!$AR$7:$AU$87,3,0))))),"")</f>
        <v/>
      </c>
      <c r="O56" s="183" t="str">
        <f>IFERROR(IF($D56="passenger.km",((VLOOKUP($B56&amp;"|"&amp;$D56,'Carbon factors'!$AR$7:$AU$87,4,0))*$C56*$E56),($E56*(VLOOKUP($B56&amp;"|"&amp;$D56,'Carbon factors'!$AR$7:$AU$87,4,0)))),"")</f>
        <v/>
      </c>
      <c r="P56" s="1296" t="str">
        <f>IFERROR(IF($D56="passenger.km",((VLOOKUP($B56&amp;"|"&amp;$D56,'Carbon factors'!$AR$7:$AV$87,5,0))*$C56*$E56),($E56*(VLOOKUP($B56&amp;"|"&amp;$D56,'Carbon factors'!$AR$7:$AV$87,5,0)))),"")</f>
        <v/>
      </c>
    </row>
    <row r="57" spans="1:16" x14ac:dyDescent="0.35">
      <c r="A57" s="898"/>
      <c r="B57" s="579"/>
      <c r="C57" s="579"/>
      <c r="D57" s="577"/>
      <c r="E57" s="577"/>
      <c r="F57" s="938" t="str">
        <f t="shared" si="1"/>
        <v/>
      </c>
      <c r="G57" s="186"/>
      <c r="H57" s="501" t="str" cm="1">
        <f t="array" ref="H57">IFERROR((_xlfn.IFS(G57=$T$11,"3",G57=$T$12,"2",G57=$T$13,"1",G57=$T$14,"1"))*E57,"")</f>
        <v/>
      </c>
      <c r="I57" s="212"/>
      <c r="J57" s="1121" t="str">
        <f>IFERROR(VLOOKUP($B57&amp;"|"&amp;$D57,'Carbon factors'!$AR$7:$AS$87,2,0),"")</f>
        <v/>
      </c>
      <c r="K57" s="501" t="str">
        <f t="shared" si="0"/>
        <v/>
      </c>
      <c r="L57" s="181" t="s">
        <v>192</v>
      </c>
      <c r="N57" s="1297" t="str">
        <f>IFERROR((IF($D57="passenger.km",((VLOOKUP($B57&amp;"|"&amp;$D57,'Carbon factors'!$AR$7:$AU$87,3,0))*$C57*$E57),($E57*(VLOOKUP($B57&amp;"|"&amp;$D57,'Carbon factors'!$AR$7:$AU$87,3,0))))),"")</f>
        <v/>
      </c>
      <c r="O57" s="183" t="str">
        <f>IFERROR(IF($D57="passenger.km",((VLOOKUP($B57&amp;"|"&amp;$D57,'Carbon factors'!$AR$7:$AU$87,4,0))*$C57*$E57),($E57*(VLOOKUP($B57&amp;"|"&amp;$D57,'Carbon factors'!$AR$7:$AU$87,4,0)))),"")</f>
        <v/>
      </c>
      <c r="P57" s="1296" t="str">
        <f>IFERROR(IF($D57="passenger.km",((VLOOKUP($B57&amp;"|"&amp;$D57,'Carbon factors'!$AR$7:$AV$87,5,0))*$C57*$E57),($E57*(VLOOKUP($B57&amp;"|"&amp;$D57,'Carbon factors'!$AR$7:$AV$87,5,0)))),"")</f>
        <v/>
      </c>
    </row>
    <row r="58" spans="1:16" x14ac:dyDescent="0.35">
      <c r="A58" s="898"/>
      <c r="B58" s="579"/>
      <c r="C58" s="579"/>
      <c r="D58" s="577"/>
      <c r="E58" s="577"/>
      <c r="F58" s="938" t="str">
        <f t="shared" si="1"/>
        <v/>
      </c>
      <c r="G58" s="186"/>
      <c r="H58" s="501" t="str" cm="1">
        <f t="array" ref="H58">IFERROR((_xlfn.IFS(G58=$T$11,"3",G58=$T$12,"2",G58=$T$13,"1",G58=$T$14,"1"))*E58,"")</f>
        <v/>
      </c>
      <c r="I58" s="212"/>
      <c r="J58" s="1121" t="str">
        <f>IFERROR(VLOOKUP($B58&amp;"|"&amp;$D58,'Carbon factors'!$AR$7:$AS$87,2,0),"")</f>
        <v/>
      </c>
      <c r="K58" s="501" t="str">
        <f t="shared" si="0"/>
        <v/>
      </c>
      <c r="L58" s="181" t="s">
        <v>192</v>
      </c>
      <c r="N58" s="1297" t="str">
        <f>IFERROR((IF($D58="passenger.km",((VLOOKUP($B58&amp;"|"&amp;$D58,'Carbon factors'!$AR$7:$AU$87,3,0))*$C58*$E58),($E58*(VLOOKUP($B58&amp;"|"&amp;$D58,'Carbon factors'!$AR$7:$AU$87,3,0))))),"")</f>
        <v/>
      </c>
      <c r="O58" s="183" t="str">
        <f>IFERROR(IF($D58="passenger.km",((VLOOKUP($B58&amp;"|"&amp;$D58,'Carbon factors'!$AR$7:$AU$87,4,0))*$C58*$E58),($E58*(VLOOKUP($B58&amp;"|"&amp;$D58,'Carbon factors'!$AR$7:$AU$87,4,0)))),"")</f>
        <v/>
      </c>
      <c r="P58" s="1296" t="str">
        <f>IFERROR(IF($D58="passenger.km",((VLOOKUP($B58&amp;"|"&amp;$D58,'Carbon factors'!$AR$7:$AV$87,5,0))*$C58*$E58),($E58*(VLOOKUP($B58&amp;"|"&amp;$D58,'Carbon factors'!$AR$7:$AV$87,5,0)))),"")</f>
        <v/>
      </c>
    </row>
    <row r="59" spans="1:16" ht="15" thickBot="1" x14ac:dyDescent="0.4">
      <c r="A59" s="583"/>
      <c r="B59" s="580"/>
      <c r="C59" s="580"/>
      <c r="D59" s="575"/>
      <c r="E59" s="575"/>
      <c r="F59" s="939" t="str">
        <f t="shared" si="1"/>
        <v/>
      </c>
      <c r="G59" s="188"/>
      <c r="H59" s="502" t="str" cm="1">
        <f t="array" ref="H59">IFERROR((_xlfn.IFS(G59=$T$11,"3",G59=$T$12,"2",G59=$T$13,"1",G59=$T$14,"1"))*E59,"")</f>
        <v/>
      </c>
      <c r="I59" s="213"/>
      <c r="J59" s="1122" t="str">
        <f>IFERROR(VLOOKUP($B59&amp;"|"&amp;$D59,'Carbon factors'!$AR$7:$AS$87,2,0),"")</f>
        <v/>
      </c>
      <c r="K59" s="502" t="str">
        <f t="shared" si="0"/>
        <v/>
      </c>
      <c r="L59" s="185" t="s">
        <v>192</v>
      </c>
      <c r="N59" s="1455" t="str">
        <f>IFERROR((IF($D59="passenger.km",((VLOOKUP($B59&amp;"|"&amp;$D59,'Carbon factors'!$AR$7:$AU$87,3,0))*$C59*$E59),($E59*(VLOOKUP($B59&amp;"|"&amp;$D59,'Carbon factors'!$AR$7:$AU$87,3,0))))),"")</f>
        <v/>
      </c>
      <c r="O59" s="184" t="str">
        <f>IFERROR(IF($D59="passenger.km",((VLOOKUP($B59&amp;"|"&amp;$D59,'Carbon factors'!$AR$7:$AU$87,4,0))*$C59*$E59),($E59*(VLOOKUP($B59&amp;"|"&amp;$D59,'Carbon factors'!$AR$7:$AU$87,4,0)))),"")</f>
        <v/>
      </c>
      <c r="P59" s="1456" t="str">
        <f>IFERROR(IF($D59="passenger.km",((VLOOKUP($B59&amp;"|"&amp;$D59,'Carbon factors'!$AR$7:$AV$87,5,0))*$C59*$E59),($E59*(VLOOKUP($B59&amp;"|"&amp;$D59,'Carbon factors'!$AR$7:$AV$87,5,0)))),"")</f>
        <v/>
      </c>
    </row>
  </sheetData>
  <sheetProtection algorithmName="SHA-512" hashValue="tYnpXFsaJ97e3/QSNLTR74jbHFrRPehWVfZwvVUBOK2/e+3W4CUfe4gPQzrinHhiUlDocvU6bMkDBzlH5A/+mQ==" saltValue="wKA1vge6CFUxfecVnXaRkg==" spinCount="100000" sheet="1" objects="1" scenarios="1"/>
  <protectedRanges>
    <protectedRange sqref="J2:L4" name="Range1"/>
    <protectedRange sqref="I12:I59 A12:E59 G12:G59" name="Range2"/>
  </protectedRanges>
  <mergeCells count="14">
    <mergeCell ref="R9:T9"/>
    <mergeCell ref="A1:B1"/>
    <mergeCell ref="D8:E8"/>
    <mergeCell ref="D7:E7"/>
    <mergeCell ref="A2:E2"/>
    <mergeCell ref="A3:E3"/>
    <mergeCell ref="A4:E4"/>
    <mergeCell ref="I2:I4"/>
    <mergeCell ref="J6:L6"/>
    <mergeCell ref="J7:L7"/>
    <mergeCell ref="J8:L8"/>
    <mergeCell ref="J2:L4"/>
    <mergeCell ref="G3:G4"/>
    <mergeCell ref="C1:E1"/>
  </mergeCells>
  <phoneticPr fontId="10" type="noConversion"/>
  <conditionalFormatting sqref="E12:E59">
    <cfRule type="expression" dxfId="53" priority="1">
      <formula>E12&gt;10000</formula>
    </cfRule>
  </conditionalFormatting>
  <conditionalFormatting sqref="J12:J59">
    <cfRule type="cellIs" dxfId="52" priority="5" operator="equal">
      <formula>"Use miles or km"</formula>
    </cfRule>
    <cfRule type="cellIs" dxfId="51" priority="6" operator="equal">
      <formula>"Use passenger.km"</formula>
    </cfRule>
  </conditionalFormatting>
  <conditionalFormatting sqref="K12:K59">
    <cfRule type="colorScale" priority="2">
      <colorScale>
        <cfvo type="min"/>
        <cfvo type="percentile" val="50"/>
        <cfvo type="max"/>
        <color rgb="FF00B050"/>
        <color rgb="FFFFEB84"/>
        <color rgb="FFFF0000"/>
      </colorScale>
    </cfRule>
  </conditionalFormatting>
  <dataValidations count="5">
    <dataValidation type="list" allowBlank="1" showInputMessage="1" showErrorMessage="1" sqref="G12:G59" xr:uid="{F37CEE5E-6338-4AEE-A750-5EBBAF31E8A5}">
      <formula1>$T$11:$T$14</formula1>
    </dataValidation>
    <dataValidation type="list" allowBlank="1" showInputMessage="1" showErrorMessage="1" sqref="D12:D59" xr:uid="{53B32ED8-D79F-4DCC-91B6-0A41727AD73F}">
      <formula1>$R$11:$R$13</formula1>
    </dataValidation>
    <dataValidation type="list" allowBlank="1" showInputMessage="1" showErrorMessage="1" sqref="B12:B59" xr:uid="{255E401A-BBA2-4B89-AC85-0764B643DE1C}">
      <formula1>$S$11:$S$37</formula1>
    </dataValidation>
    <dataValidation type="decimal" allowBlank="1" showInputMessage="1" showErrorMessage="1" errorTitle="Number only" error="Enter a number only" sqref="E12:E59" xr:uid="{06AFA3DF-CC7B-4A43-A97B-4E5E2EEDA557}">
      <formula1>0</formula1>
      <formula2>1000000000</formula2>
    </dataValidation>
    <dataValidation type="whole" allowBlank="1" showInputMessage="1" showErrorMessage="1" errorTitle="Number only" error="Enter a number only" sqref="C12:C59" xr:uid="{D1777C44-6973-417B-9516-5808A9F7C3EF}">
      <formula1>0</formula1>
      <formula2>10000</formula2>
    </dataValidation>
  </dataValidations>
  <hyperlinks>
    <hyperlink ref="G3" r:id="rId1" xr:uid="{6CF2489A-842B-4D32-94E6-69C84B3014C2}"/>
    <hyperlink ref="C1:E1" r:id="rId2" display="While video conferencing is low carbon, a change from business class to economy class for necessary international air travel can reduce emissions by around 65%." xr:uid="{473F7A10-0A02-420C-98CC-5675AB72053E}"/>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count="1">
        <x14:dataValidation type="list" allowBlank="1" showInputMessage="1" showErrorMessage="1" xr:uid="{10E517C8-01F8-4BB7-936B-867DF59A4E90}">
          <x14:formula1>
            <xm:f>Buildings!$B$9:$B$41</xm:f>
          </x14:formula1>
          <xm:sqref>A12:A59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571F-E418-4F2C-AAD6-4FD025BD4AB6}">
  <sheetPr codeName="Sheet11">
    <tabColor rgb="FF00B050"/>
  </sheetPr>
  <dimension ref="A1:AD108"/>
  <sheetViews>
    <sheetView topLeftCell="A7" zoomScaleNormal="100" workbookViewId="0">
      <selection activeCell="B11" sqref="B11"/>
    </sheetView>
  </sheetViews>
  <sheetFormatPr defaultColWidth="17.26953125" defaultRowHeight="14.5" x14ac:dyDescent="0.35"/>
  <cols>
    <col min="1" max="1" width="35.1796875" customWidth="1"/>
    <col min="2" max="2" width="31.81640625" customWidth="1"/>
    <col min="3" max="3" width="25" customWidth="1"/>
    <col min="4" max="4" width="14.7265625" customWidth="1"/>
    <col min="5" max="5" width="22.453125" customWidth="1"/>
    <col min="6" max="6" width="24" style="4" customWidth="1"/>
    <col min="7" max="7" width="26.7265625" customWidth="1"/>
    <col min="8" max="8" width="28.1796875" customWidth="1"/>
    <col min="9" max="9" width="24.453125" style="4" customWidth="1"/>
    <col min="10" max="10" width="17.26953125" style="668"/>
    <col min="13" max="13" width="31.1796875" customWidth="1"/>
    <col min="14" max="14" width="30.7265625" customWidth="1"/>
    <col min="15" max="15" width="26.1796875" customWidth="1"/>
    <col min="16" max="16" width="17.26953125" style="668"/>
    <col min="17" max="17" width="18.1796875" bestFit="1" customWidth="1"/>
    <col min="18" max="18" width="17.26953125" style="567" customWidth="1"/>
    <col min="19" max="19" width="13.81640625" customWidth="1"/>
    <col min="20" max="20" width="14.54296875" style="706" customWidth="1"/>
    <col min="21" max="21" width="16.54296875" style="706" customWidth="1"/>
    <col min="22" max="22" width="14.1796875" style="706" customWidth="1"/>
    <col min="23" max="23" width="18" customWidth="1"/>
    <col min="24" max="24" width="19.26953125" style="2" hidden="1" customWidth="1"/>
    <col min="25" max="25" width="20.26953125" style="2" hidden="1" customWidth="1"/>
    <col min="26" max="26" width="23" style="2" hidden="1" customWidth="1"/>
    <col min="27" max="27" width="34.81640625" style="4" hidden="1" customWidth="1"/>
  </cols>
  <sheetData>
    <row r="1" spans="1:30" ht="45.75" customHeight="1" thickBot="1" x14ac:dyDescent="0.4">
      <c r="A1" s="1790" t="s">
        <v>415</v>
      </c>
      <c r="B1" s="1791"/>
      <c r="C1" s="1876" t="s">
        <v>783</v>
      </c>
      <c r="D1" s="1877"/>
      <c r="E1" s="1877"/>
      <c r="F1" s="1877"/>
      <c r="R1"/>
      <c r="S1" s="567"/>
      <c r="X1"/>
      <c r="AA1" s="320"/>
    </row>
    <row r="2" spans="1:30" s="808" customFormat="1" ht="28.5" customHeight="1" thickBot="1" x14ac:dyDescent="0.4">
      <c r="A2" s="1828" t="s">
        <v>784</v>
      </c>
      <c r="B2" s="1829"/>
      <c r="C2" s="1829"/>
      <c r="D2" s="1829"/>
      <c r="E2" s="1829"/>
      <c r="F2" s="1830"/>
      <c r="G2" s="417"/>
      <c r="H2" s="1765" t="s">
        <v>309</v>
      </c>
      <c r="I2" s="1768" t="s">
        <v>509</v>
      </c>
      <c r="J2" s="1769"/>
      <c r="K2" s="1769"/>
      <c r="L2" s="1769"/>
      <c r="M2" s="1769"/>
      <c r="N2" s="1769"/>
      <c r="O2" s="1769"/>
      <c r="P2" s="1769"/>
      <c r="Q2" s="1769"/>
      <c r="R2" s="1770"/>
      <c r="S2" s="1002"/>
      <c r="T2" s="1479"/>
      <c r="U2" s="1479"/>
      <c r="V2" s="1479"/>
      <c r="AA2" s="394"/>
      <c r="AC2" s="1003"/>
    </row>
    <row r="3" spans="1:30" s="808" customFormat="1" ht="28.5" customHeight="1" thickBot="1" x14ac:dyDescent="0.4">
      <c r="A3" s="1828" t="s">
        <v>785</v>
      </c>
      <c r="B3" s="1829"/>
      <c r="C3" s="1829"/>
      <c r="D3" s="1829"/>
      <c r="E3" s="1829"/>
      <c r="F3" s="1830"/>
      <c r="G3" s="417"/>
      <c r="H3" s="1766"/>
      <c r="I3" s="1771"/>
      <c r="J3" s="1772"/>
      <c r="K3" s="1772"/>
      <c r="L3" s="1772"/>
      <c r="M3" s="1772"/>
      <c r="N3" s="1772"/>
      <c r="O3" s="1772"/>
      <c r="P3" s="1772"/>
      <c r="Q3" s="1772"/>
      <c r="R3" s="1773"/>
      <c r="S3" s="1002"/>
      <c r="T3" s="1479"/>
      <c r="U3" s="1479"/>
      <c r="V3" s="1479"/>
      <c r="AA3" s="394"/>
      <c r="AC3" s="1003"/>
    </row>
    <row r="4" spans="1:30" s="808" customFormat="1" ht="79.5" customHeight="1" thickBot="1" x14ac:dyDescent="0.4">
      <c r="A4" s="1828" t="s">
        <v>786</v>
      </c>
      <c r="B4" s="1829"/>
      <c r="C4" s="1829"/>
      <c r="D4" s="1829"/>
      <c r="E4" s="1829"/>
      <c r="F4" s="1830"/>
      <c r="G4" s="417"/>
      <c r="H4" s="1767"/>
      <c r="I4" s="1774"/>
      <c r="J4" s="1775"/>
      <c r="K4" s="1775"/>
      <c r="L4" s="1775"/>
      <c r="M4" s="1775"/>
      <c r="N4" s="1775"/>
      <c r="O4" s="1775"/>
      <c r="P4" s="1775"/>
      <c r="Q4" s="1775"/>
      <c r="R4" s="1776"/>
      <c r="S4" s="801"/>
      <c r="T4" s="1479"/>
      <c r="U4" s="1480"/>
      <c r="V4" s="1479"/>
      <c r="AB4" s="394"/>
      <c r="AD4" s="1003"/>
    </row>
    <row r="5" spans="1:30" ht="15" thickBot="1" x14ac:dyDescent="0.4">
      <c r="A5" s="4"/>
      <c r="B5" s="4"/>
      <c r="C5" s="4"/>
      <c r="D5" s="4"/>
      <c r="E5" s="4"/>
      <c r="F5" s="382"/>
      <c r="G5" s="215"/>
      <c r="H5" s="215"/>
      <c r="I5" s="215"/>
      <c r="J5" s="693"/>
      <c r="K5" s="215"/>
      <c r="L5" s="215"/>
      <c r="M5" s="215"/>
      <c r="N5" s="215"/>
      <c r="O5" s="215"/>
      <c r="R5"/>
      <c r="U5" s="1457"/>
      <c r="X5"/>
      <c r="Y5"/>
      <c r="AA5" s="2"/>
      <c r="AB5" s="320"/>
    </row>
    <row r="6" spans="1:30" ht="123" customHeight="1" thickBot="1" x14ac:dyDescent="0.4">
      <c r="A6" s="463" t="s">
        <v>211</v>
      </c>
      <c r="B6" s="571">
        <f>SUMIF(Q11:Q54, "Scope 1",P11:P54)/1000</f>
        <v>0</v>
      </c>
      <c r="C6" s="593" t="s">
        <v>316</v>
      </c>
      <c r="D6" s="1815" t="s">
        <v>787</v>
      </c>
      <c r="E6" s="1816"/>
      <c r="F6" s="1817"/>
      <c r="O6" s="1874" t="s">
        <v>788</v>
      </c>
      <c r="P6" s="736" t="s">
        <v>789</v>
      </c>
      <c r="Q6" s="737" t="s">
        <v>790</v>
      </c>
      <c r="R6" s="738" t="s">
        <v>791</v>
      </c>
      <c r="S6" s="567"/>
      <c r="T6" s="1465" t="s">
        <v>644</v>
      </c>
      <c r="U6" s="1466" t="s">
        <v>645</v>
      </c>
      <c r="V6" s="1467" t="s">
        <v>646</v>
      </c>
      <c r="AA6" s="320"/>
    </row>
    <row r="7" spans="1:30" ht="77.25" customHeight="1" thickBot="1" x14ac:dyDescent="0.4">
      <c r="A7" s="465" t="s">
        <v>516</v>
      </c>
      <c r="B7" s="444" t="str">
        <f>IFERROR((SUM(J11:J58))/(SUM(P11:P58)*3),"")</f>
        <v/>
      </c>
      <c r="C7" s="445" t="s">
        <v>517</v>
      </c>
      <c r="D7" s="1828" t="s">
        <v>647</v>
      </c>
      <c r="E7" s="1829"/>
      <c r="F7" s="1830"/>
      <c r="O7" s="1875"/>
      <c r="P7" s="1291" t="s">
        <v>837</v>
      </c>
      <c r="Q7" s="802">
        <f>IFERROR(VLOOKUP(P7,'Anaesthetics properties'!L6:P26,5,0),"")</f>
        <v>6.5</v>
      </c>
      <c r="R7" s="803">
        <f>IFERROR(VLOOKUP(P7,'Anaesthetics properties'!L6:P26,2,0),"")</f>
        <v>950</v>
      </c>
      <c r="S7" s="567"/>
      <c r="T7" s="1444">
        <f>SUM(T11:T54)</f>
        <v>0</v>
      </c>
      <c r="U7" s="1445">
        <f>SUM(U11:U54)</f>
        <v>0</v>
      </c>
      <c r="V7" s="1446">
        <f>SUM(V11:V54)</f>
        <v>0</v>
      </c>
      <c r="AA7" s="320"/>
    </row>
    <row r="8" spans="1:30" ht="21" customHeight="1" thickBot="1" x14ac:dyDescent="0.4">
      <c r="I8"/>
      <c r="J8" s="4"/>
      <c r="K8" s="668"/>
      <c r="P8"/>
      <c r="Q8" s="668"/>
      <c r="R8"/>
      <c r="U8" s="1457"/>
      <c r="X8" s="1804" t="s">
        <v>325</v>
      </c>
      <c r="Y8" s="1805"/>
      <c r="Z8" s="1805"/>
      <c r="AA8" s="1806"/>
    </row>
    <row r="9" spans="1:30" s="394" customFormat="1" ht="82.5" customHeight="1" thickBot="1" x14ac:dyDescent="0.5">
      <c r="A9" s="456" t="s">
        <v>793</v>
      </c>
      <c r="B9" s="1006" t="s">
        <v>794</v>
      </c>
      <c r="C9" s="1006" t="s">
        <v>795</v>
      </c>
      <c r="D9" s="1006" t="s">
        <v>796</v>
      </c>
      <c r="E9" s="1006" t="s">
        <v>797</v>
      </c>
      <c r="F9" s="1006" t="s">
        <v>798</v>
      </c>
      <c r="G9" s="1006" t="s">
        <v>799</v>
      </c>
      <c r="H9" s="1006" t="s">
        <v>799</v>
      </c>
      <c r="I9" s="1006" t="s">
        <v>535</v>
      </c>
      <c r="J9" s="1288" t="s">
        <v>536</v>
      </c>
      <c r="K9" s="1006" t="s">
        <v>537</v>
      </c>
      <c r="L9" s="1006" t="s">
        <v>142</v>
      </c>
      <c r="M9" s="1006" t="s">
        <v>538</v>
      </c>
      <c r="N9" s="1165" t="s">
        <v>619</v>
      </c>
      <c r="O9" s="456" t="s">
        <v>542</v>
      </c>
      <c r="P9" s="171" t="s">
        <v>543</v>
      </c>
      <c r="Q9" s="1165" t="s">
        <v>544</v>
      </c>
      <c r="R9" s="1289" t="s">
        <v>546</v>
      </c>
      <c r="T9" s="1481" t="s">
        <v>178</v>
      </c>
      <c r="U9" s="1482" t="s">
        <v>179</v>
      </c>
      <c r="V9" s="1483" t="s">
        <v>180</v>
      </c>
      <c r="X9" s="1126" t="s">
        <v>797</v>
      </c>
      <c r="Y9" s="1290" t="s">
        <v>800</v>
      </c>
      <c r="Z9" s="1290" t="s">
        <v>801</v>
      </c>
      <c r="AA9" s="1166" t="s">
        <v>535</v>
      </c>
    </row>
    <row r="10" spans="1:30" s="1003" customFormat="1" ht="96" customHeight="1" thickBot="1" x14ac:dyDescent="0.4">
      <c r="A10" s="1214" t="s">
        <v>329</v>
      </c>
      <c r="B10" s="1007" t="s">
        <v>329</v>
      </c>
      <c r="C10" s="1007" t="s">
        <v>329</v>
      </c>
      <c r="D10" s="1007" t="s">
        <v>467</v>
      </c>
      <c r="E10" s="1007" t="s">
        <v>802</v>
      </c>
      <c r="F10" s="1007" t="s">
        <v>803</v>
      </c>
      <c r="G10" s="1007" t="s">
        <v>804</v>
      </c>
      <c r="H10" s="1007" t="s">
        <v>805</v>
      </c>
      <c r="I10" s="1007" t="s">
        <v>329</v>
      </c>
      <c r="J10" s="1009"/>
      <c r="K10" s="1008" t="s">
        <v>467</v>
      </c>
      <c r="L10" s="1007" t="s">
        <v>329</v>
      </c>
      <c r="M10" s="1007" t="s">
        <v>556</v>
      </c>
      <c r="N10" s="1215" t="s">
        <v>806</v>
      </c>
      <c r="O10" s="1011" t="s">
        <v>807</v>
      </c>
      <c r="P10" s="191" t="s">
        <v>560</v>
      </c>
      <c r="Q10" s="1012" t="s">
        <v>561</v>
      </c>
      <c r="R10" s="1010" t="s">
        <v>556</v>
      </c>
      <c r="T10" s="1484" t="s">
        <v>202</v>
      </c>
      <c r="U10" s="1485" t="s">
        <v>202</v>
      </c>
      <c r="V10" s="1486" t="s">
        <v>202</v>
      </c>
      <c r="X10" s="1129" t="s">
        <v>808</v>
      </c>
      <c r="Y10" s="1004" t="s">
        <v>809</v>
      </c>
      <c r="Z10" s="1005" t="s">
        <v>810</v>
      </c>
      <c r="AA10" s="1167" t="s">
        <v>811</v>
      </c>
    </row>
    <row r="11" spans="1:30" ht="29" x14ac:dyDescent="0.35">
      <c r="A11" s="1130" t="s">
        <v>2593</v>
      </c>
      <c r="B11" s="578" t="s">
        <v>818</v>
      </c>
      <c r="C11" s="197" t="s">
        <v>813</v>
      </c>
      <c r="D11" s="578">
        <v>4</v>
      </c>
      <c r="E11" s="578" t="s">
        <v>826</v>
      </c>
      <c r="F11" s="1131" t="str">
        <f>IFERROR(VLOOKUP($B11&amp;"|"&amp;$E11,'Carbon factors'!$AA$7:$AB$160,2,0),"")</f>
        <v/>
      </c>
      <c r="G11" s="589" t="str">
        <f t="shared" ref="G11:G54" si="0">IFERROR((F11*D11),"")</f>
        <v/>
      </c>
      <c r="H11" s="589"/>
      <c r="I11" s="197" t="s">
        <v>811</v>
      </c>
      <c r="J11" s="500" t="str" cm="1">
        <f t="array" ref="J11">IFERROR((_xlfn.IFS(I11=$AA$10,"3",I11=$AA$11,"2",I11=$AA$12,"1",I11=$AA$13,"1"))*P11,"")</f>
        <v/>
      </c>
      <c r="K11" s="199">
        <v>340</v>
      </c>
      <c r="L11" s="197" t="s">
        <v>167</v>
      </c>
      <c r="M11" s="440" t="str">
        <f>IFERROR(K11/VLOOKUP(L11,'$ Conversion'!$A$9:$B$40,2,0),"")</f>
        <v/>
      </c>
      <c r="N11" s="209"/>
      <c r="O11" s="1107">
        <f>IFERROR(VLOOKUP($B11,'Carbon factors'!$AD$7:$AE$12,2,0),"")</f>
        <v>40</v>
      </c>
      <c r="P11" s="656" t="str">
        <f>IFERROR(IF(H11&gt;0,(H11*O11),(O11*G11)),"")</f>
        <v/>
      </c>
      <c r="Q11" s="395" t="s">
        <v>181</v>
      </c>
      <c r="R11" s="673" t="str">
        <f t="shared" ref="R11:R54" si="1">IFERROR((M11*D11),"")</f>
        <v/>
      </c>
      <c r="T11" s="1453"/>
      <c r="U11" s="202"/>
      <c r="V11" s="1454">
        <f>SUMIF(B11,"Nitrous oxide",P11)</f>
        <v>0</v>
      </c>
      <c r="X11" s="1127">
        <v>0.25</v>
      </c>
      <c r="Y11" s="543" t="s">
        <v>812</v>
      </c>
      <c r="Z11" s="397" t="s">
        <v>813</v>
      </c>
      <c r="AA11" s="1149" t="s">
        <v>814</v>
      </c>
    </row>
    <row r="12" spans="1:30" x14ac:dyDescent="0.35">
      <c r="A12" s="1132"/>
      <c r="B12" s="579"/>
      <c r="C12" s="186"/>
      <c r="D12" s="579"/>
      <c r="E12" s="579"/>
      <c r="F12" s="861" t="str">
        <f>IFERROR(VLOOKUP($B12&amp;"|"&amp;$E12,'Carbon factors'!$AA$7:$AB$160,2,0),"")</f>
        <v/>
      </c>
      <c r="G12" s="584" t="str">
        <f t="shared" si="0"/>
        <v/>
      </c>
      <c r="H12" s="584"/>
      <c r="I12" s="186"/>
      <c r="J12" s="501" t="str" cm="1">
        <f t="array" ref="J12">IFERROR((_xlfn.IFS(I12=$AA$10,"3",I12=$AA$11,"2",I12=$AA$12,"1",I12=$AA$13,"1"))*P12,"")</f>
        <v/>
      </c>
      <c r="K12" s="168"/>
      <c r="L12" s="186"/>
      <c r="M12" s="183" t="str">
        <f>IFERROR(K12/VLOOKUP(L12,'$ Conversion'!$A$9:$B$40,2,0),"")</f>
        <v/>
      </c>
      <c r="N12" s="212"/>
      <c r="O12" s="1121" t="str">
        <f>IFERROR(VLOOKUP($B12,'Carbon factors'!$AD$7:$AE$12,2,0),"")</f>
        <v/>
      </c>
      <c r="P12" s="501" t="str">
        <f t="shared" ref="P12:P54" si="2">IFERROR(IF(H12&gt;0,(H12*O12),(O12*G12)),"")</f>
        <v/>
      </c>
      <c r="Q12" s="590" t="s">
        <v>181</v>
      </c>
      <c r="R12" s="674" t="str">
        <f t="shared" si="1"/>
        <v/>
      </c>
      <c r="T12" s="1297"/>
      <c r="U12" s="183"/>
      <c r="V12" s="1296">
        <f t="shared" ref="V12:V54" si="3">SUMIF(B12,"Nitrous oxide",P12)</f>
        <v>0</v>
      </c>
      <c r="X12" s="708">
        <v>0.24</v>
      </c>
      <c r="Y12" s="543" t="s">
        <v>815</v>
      </c>
      <c r="Z12" s="397" t="s">
        <v>816</v>
      </c>
      <c r="AA12" s="1149" t="s">
        <v>817</v>
      </c>
    </row>
    <row r="13" spans="1:30" x14ac:dyDescent="0.35">
      <c r="A13" s="1132"/>
      <c r="B13" s="579"/>
      <c r="C13" s="186"/>
      <c r="D13" s="579"/>
      <c r="E13" s="579"/>
      <c r="F13" s="861" t="str">
        <f>IFERROR(VLOOKUP($B13&amp;"|"&amp;$E13,'Carbon factors'!$AA$7:$AB$160,2,0),"")</f>
        <v/>
      </c>
      <c r="G13" s="584" t="str">
        <f t="shared" si="0"/>
        <v/>
      </c>
      <c r="H13" s="584"/>
      <c r="I13" s="186"/>
      <c r="J13" s="501" t="str" cm="1">
        <f t="array" ref="J13">IFERROR((_xlfn.IFS(I13=$AA$10,"3",I13=$AA$11,"2",I13=$AA$12,"1",I13=$AA$13,"1"))*P13,"")</f>
        <v/>
      </c>
      <c r="K13" s="168"/>
      <c r="L13" s="186"/>
      <c r="M13" s="183" t="str">
        <f>IFERROR(K13/VLOOKUP(L13,'$ Conversion'!$A$9:$B$40,2,0),"")</f>
        <v/>
      </c>
      <c r="N13" s="212"/>
      <c r="O13" s="1121" t="str">
        <f>IFERROR(VLOOKUP($B13,'Carbon factors'!$AD$7:$AE$12,2,0),"")</f>
        <v/>
      </c>
      <c r="P13" s="501" t="str">
        <f t="shared" si="2"/>
        <v/>
      </c>
      <c r="Q13" s="590" t="s">
        <v>181</v>
      </c>
      <c r="R13" s="674" t="str">
        <f t="shared" si="1"/>
        <v/>
      </c>
      <c r="T13" s="1297"/>
      <c r="U13" s="183"/>
      <c r="V13" s="1296">
        <f t="shared" si="3"/>
        <v>0</v>
      </c>
      <c r="X13" s="708">
        <v>0.2</v>
      </c>
      <c r="Y13" s="543" t="s">
        <v>818</v>
      </c>
      <c r="Z13" s="709" t="s">
        <v>819</v>
      </c>
      <c r="AA13" s="1149" t="s">
        <v>820</v>
      </c>
    </row>
    <row r="14" spans="1:30" x14ac:dyDescent="0.35">
      <c r="A14" s="1132"/>
      <c r="B14" s="579"/>
      <c r="C14" s="186"/>
      <c r="D14" s="579"/>
      <c r="E14" s="579"/>
      <c r="F14" s="861" t="str">
        <f>IFERROR(VLOOKUP($B14&amp;"|"&amp;$E14,'Carbon factors'!$AA$7:$AB$160,2,0),"")</f>
        <v/>
      </c>
      <c r="G14" s="584" t="str">
        <f t="shared" si="0"/>
        <v/>
      </c>
      <c r="H14" s="584"/>
      <c r="I14" s="186"/>
      <c r="J14" s="501" t="str" cm="1">
        <f t="array" ref="J14">IFERROR((_xlfn.IFS(I14=$AA$10,"3",I14=$AA$11,"2",I14=$AA$12,"1",I14=$AA$13,"1"))*P14,"")</f>
        <v/>
      </c>
      <c r="K14" s="168"/>
      <c r="L14" s="186"/>
      <c r="M14" s="183" t="str">
        <f>IFERROR(K14/VLOOKUP(L14,'$ Conversion'!$A$9:$B$40,2,0),"")</f>
        <v/>
      </c>
      <c r="N14" s="212"/>
      <c r="O14" s="1121" t="str">
        <f>IFERROR(VLOOKUP($B14,'Carbon factors'!$AD$7:$AE$12,2,0),"")</f>
        <v/>
      </c>
      <c r="P14" s="501" t="str">
        <f t="shared" si="2"/>
        <v/>
      </c>
      <c r="Q14" s="590" t="s">
        <v>181</v>
      </c>
      <c r="R14" s="674" t="str">
        <f t="shared" si="1"/>
        <v/>
      </c>
      <c r="T14" s="1297"/>
      <c r="U14" s="183"/>
      <c r="V14" s="1296">
        <f t="shared" si="3"/>
        <v>0</v>
      </c>
      <c r="X14" s="708">
        <v>0.125</v>
      </c>
      <c r="Y14" s="543" t="s">
        <v>821</v>
      </c>
      <c r="Z14" s="397"/>
      <c r="AA14" s="1149"/>
    </row>
    <row r="15" spans="1:30" x14ac:dyDescent="0.35">
      <c r="A15" s="1132"/>
      <c r="B15" s="579"/>
      <c r="C15" s="186"/>
      <c r="D15" s="579"/>
      <c r="E15" s="579"/>
      <c r="F15" s="861" t="str">
        <f>IFERROR(VLOOKUP($B15&amp;"|"&amp;$E15,'Carbon factors'!$AA$7:$AB$160,2,0),"")</f>
        <v/>
      </c>
      <c r="G15" s="584" t="str">
        <f t="shared" si="0"/>
        <v/>
      </c>
      <c r="H15" s="584"/>
      <c r="I15" s="186"/>
      <c r="J15" s="501" t="str" cm="1">
        <f t="array" ref="J15">IFERROR((_xlfn.IFS(I15=$AA$10,"3",I15=$AA$11,"2",I15=$AA$12,"1",I15=$AA$13,"1"))*P15,"")</f>
        <v/>
      </c>
      <c r="K15" s="168"/>
      <c r="L15" s="186"/>
      <c r="M15" s="183" t="str">
        <f>IFERROR(K15/VLOOKUP(L15,'$ Conversion'!$A$9:$B$40,2,0),"")</f>
        <v/>
      </c>
      <c r="N15" s="212"/>
      <c r="O15" s="1121" t="str">
        <f>IFERROR(VLOOKUP($B15,'Carbon factors'!$AD$7:$AE$12,2,0),"")</f>
        <v/>
      </c>
      <c r="P15" s="501" t="str">
        <f t="shared" si="2"/>
        <v/>
      </c>
      <c r="Q15" s="590" t="s">
        <v>181</v>
      </c>
      <c r="R15" s="674" t="str">
        <f t="shared" si="1"/>
        <v/>
      </c>
      <c r="T15" s="1297"/>
      <c r="U15" s="183"/>
      <c r="V15" s="1296">
        <f t="shared" si="3"/>
        <v>0</v>
      </c>
      <c r="X15" s="708">
        <v>0.1</v>
      </c>
      <c r="Y15" s="543" t="s">
        <v>822</v>
      </c>
      <c r="Z15" s="397"/>
      <c r="AA15" s="1149"/>
    </row>
    <row r="16" spans="1:30" x14ac:dyDescent="0.35">
      <c r="A16" s="1132"/>
      <c r="B16" s="579"/>
      <c r="C16" s="186"/>
      <c r="D16" s="579"/>
      <c r="E16" s="579"/>
      <c r="F16" s="861" t="str">
        <f>IFERROR(VLOOKUP($B16&amp;"|"&amp;$E16,'Carbon factors'!$AA$7:$AB$160,2,0),"")</f>
        <v/>
      </c>
      <c r="G16" s="584" t="str">
        <f t="shared" si="0"/>
        <v/>
      </c>
      <c r="H16" s="584"/>
      <c r="I16" s="186"/>
      <c r="J16" s="501" t="str" cm="1">
        <f t="array" ref="J16">IFERROR((_xlfn.IFS(I16=$AA$10,"3",I16=$AA$11,"2",I16=$AA$12,"1",I16=$AA$13,"1"))*P16,"")</f>
        <v/>
      </c>
      <c r="K16" s="168"/>
      <c r="L16" s="186"/>
      <c r="M16" s="183" t="str">
        <f>IFERROR(K16/VLOOKUP(L16,'$ Conversion'!$A$9:$B$40,2,0),"")</f>
        <v/>
      </c>
      <c r="N16" s="212"/>
      <c r="O16" s="1107" t="str">
        <f>IFERROR(VLOOKUP($B16,'Carbon factors'!$AD$7:$AE$12,2,0),"")</f>
        <v/>
      </c>
      <c r="P16" s="501" t="str">
        <f t="shared" si="2"/>
        <v/>
      </c>
      <c r="Q16" s="395" t="s">
        <v>181</v>
      </c>
      <c r="R16" s="674" t="str">
        <f t="shared" si="1"/>
        <v/>
      </c>
      <c r="T16" s="1297"/>
      <c r="U16" s="183"/>
      <c r="V16" s="1296">
        <f t="shared" si="3"/>
        <v>0</v>
      </c>
      <c r="X16" s="708">
        <v>0.05</v>
      </c>
      <c r="Y16" s="543"/>
      <c r="Z16" s="709"/>
      <c r="AA16" s="1149"/>
    </row>
    <row r="17" spans="1:27" x14ac:dyDescent="0.35">
      <c r="A17" s="1132"/>
      <c r="B17" s="579"/>
      <c r="C17" s="186"/>
      <c r="D17" s="579"/>
      <c r="E17" s="579"/>
      <c r="F17" s="861" t="str">
        <f>IFERROR(VLOOKUP($B17&amp;"|"&amp;$E17,'Carbon factors'!$AA$7:$AB$160,2,0),"")</f>
        <v/>
      </c>
      <c r="G17" s="584" t="str">
        <f t="shared" si="0"/>
        <v/>
      </c>
      <c r="H17" s="584"/>
      <c r="I17" s="186"/>
      <c r="J17" s="501" t="str" cm="1">
        <f t="array" ref="J17">IFERROR((_xlfn.IFS(I17=$AA$10,"3",I17=$AA$11,"2",I17=$AA$12,"1",I17=$AA$13,"1"))*P17,"")</f>
        <v/>
      </c>
      <c r="K17" s="168"/>
      <c r="L17" s="186"/>
      <c r="M17" s="183" t="str">
        <f>IFERROR(K17/VLOOKUP(L17,'$ Conversion'!$A$9:$B$40,2,0),"")</f>
        <v/>
      </c>
      <c r="N17" s="212"/>
      <c r="O17" s="1121" t="str">
        <f>IFERROR(VLOOKUP($B17,'Carbon factors'!$AD$7:$AE$12,2,0),"")</f>
        <v/>
      </c>
      <c r="P17" s="501" t="str">
        <f t="shared" si="2"/>
        <v/>
      </c>
      <c r="Q17" s="590" t="s">
        <v>181</v>
      </c>
      <c r="R17" s="674" t="str">
        <f t="shared" si="1"/>
        <v/>
      </c>
      <c r="T17" s="1297"/>
      <c r="U17" s="183"/>
      <c r="V17" s="1296">
        <f t="shared" si="3"/>
        <v>0</v>
      </c>
      <c r="X17" s="708">
        <v>0.03</v>
      </c>
      <c r="Y17" s="543"/>
      <c r="Z17" s="543"/>
      <c r="AA17" s="1149"/>
    </row>
    <row r="18" spans="1:27" x14ac:dyDescent="0.35">
      <c r="A18" s="1132"/>
      <c r="B18" s="579"/>
      <c r="C18" s="186"/>
      <c r="D18" s="579"/>
      <c r="E18" s="579"/>
      <c r="F18" s="861" t="str">
        <f>IFERROR(VLOOKUP($B18&amp;"|"&amp;$E18,'Carbon factors'!$AA$7:$AB$160,2,0),"")</f>
        <v/>
      </c>
      <c r="G18" s="584" t="str">
        <f>IFERROR((F18*D18),"")</f>
        <v/>
      </c>
      <c r="H18" s="584"/>
      <c r="I18" s="186"/>
      <c r="J18" s="501" t="str" cm="1">
        <f t="array" ref="J18">IFERROR((_xlfn.IFS(I18=$AA$10,"3",I18=$AA$11,"2",I18=$AA$12,"1",I18=$AA$13,"1"))*P18,"")</f>
        <v/>
      </c>
      <c r="K18" s="168"/>
      <c r="L18" s="186"/>
      <c r="M18" s="183" t="str">
        <f>IFERROR(K18/VLOOKUP(L18,'$ Conversion'!$A$9:$B$40,2,0),"")</f>
        <v/>
      </c>
      <c r="N18" s="212"/>
      <c r="O18" s="1121" t="str">
        <f>IFERROR(VLOOKUP($B18,'Carbon factors'!$AD$7:$AE$12,2,0),"")</f>
        <v/>
      </c>
      <c r="P18" s="501" t="str">
        <f t="shared" si="2"/>
        <v/>
      </c>
      <c r="Q18" s="590" t="s">
        <v>181</v>
      </c>
      <c r="R18" s="674" t="str">
        <f t="shared" si="1"/>
        <v/>
      </c>
      <c r="T18" s="1297"/>
      <c r="U18" s="183"/>
      <c r="V18" s="1296">
        <f t="shared" si="3"/>
        <v>0</v>
      </c>
      <c r="X18" s="708" t="s">
        <v>823</v>
      </c>
      <c r="Y18" s="543"/>
      <c r="Z18" s="543"/>
      <c r="AA18" s="1149"/>
    </row>
    <row r="19" spans="1:27" x14ac:dyDescent="0.35">
      <c r="A19" s="1132"/>
      <c r="B19" s="579"/>
      <c r="C19" s="186"/>
      <c r="D19" s="579"/>
      <c r="E19" s="579"/>
      <c r="F19" s="861" t="str">
        <f>IFERROR(VLOOKUP($B19&amp;"|"&amp;$E19,'Carbon factors'!$AA$7:$AB$160,2,0),"")</f>
        <v/>
      </c>
      <c r="G19" s="584" t="str">
        <f t="shared" si="0"/>
        <v/>
      </c>
      <c r="H19" s="584"/>
      <c r="I19" s="186"/>
      <c r="J19" s="501" t="str" cm="1">
        <f t="array" ref="J19">IFERROR((_xlfn.IFS(I19=$AA$10,"3",I19=$AA$11,"2",I19=$AA$12,"1",I19=$AA$13,"1"))*P19,"")</f>
        <v/>
      </c>
      <c r="K19" s="168"/>
      <c r="L19" s="186"/>
      <c r="M19" s="183" t="str">
        <f>IFERROR(K19/VLOOKUP(L19,'$ Conversion'!$A$9:$B$40,2,0),"")</f>
        <v/>
      </c>
      <c r="N19" s="212"/>
      <c r="O19" s="1121" t="str">
        <f>IFERROR(VLOOKUP($B19,'Carbon factors'!$AD$7:$AE$12,2,0),"")</f>
        <v/>
      </c>
      <c r="P19" s="501" t="str">
        <f t="shared" si="2"/>
        <v/>
      </c>
      <c r="Q19" s="590" t="s">
        <v>181</v>
      </c>
      <c r="R19" s="674" t="str">
        <f t="shared" si="1"/>
        <v/>
      </c>
      <c r="T19" s="1297"/>
      <c r="U19" s="183"/>
      <c r="V19" s="1296">
        <f t="shared" si="3"/>
        <v>0</v>
      </c>
      <c r="X19" s="721" t="s">
        <v>824</v>
      </c>
      <c r="Y19" s="543"/>
      <c r="Z19" s="543"/>
      <c r="AA19" s="1149"/>
    </row>
    <row r="20" spans="1:27" x14ac:dyDescent="0.35">
      <c r="A20" s="1132"/>
      <c r="B20" s="579"/>
      <c r="C20" s="186"/>
      <c r="D20" s="579"/>
      <c r="E20" s="579"/>
      <c r="F20" s="861" t="str">
        <f>IFERROR(VLOOKUP($B20&amp;"|"&amp;$E20,'Carbon factors'!$AA$7:$AB$160,2,0),"")</f>
        <v/>
      </c>
      <c r="G20" s="584" t="str">
        <f t="shared" si="0"/>
        <v/>
      </c>
      <c r="H20" s="584"/>
      <c r="I20" s="186"/>
      <c r="J20" s="501" t="str" cm="1">
        <f t="array" ref="J20">IFERROR((_xlfn.IFS(I20=$AA$10,"3",I20=$AA$11,"2",I20=$AA$12,"1",I20=$AA$13,"1"))*P20,"")</f>
        <v/>
      </c>
      <c r="K20" s="168"/>
      <c r="L20" s="186"/>
      <c r="M20" s="183" t="str">
        <f>IFERROR(K20/VLOOKUP(L20,'$ Conversion'!$A$9:$B$40,2,0),"")</f>
        <v/>
      </c>
      <c r="N20" s="212"/>
      <c r="O20" s="1121" t="str">
        <f>IFERROR(VLOOKUP($B20,'Carbon factors'!$AD$7:$AE$12,2,0),"")</f>
        <v/>
      </c>
      <c r="P20" s="501" t="str">
        <f t="shared" si="2"/>
        <v/>
      </c>
      <c r="Q20" s="590" t="s">
        <v>181</v>
      </c>
      <c r="R20" s="674" t="str">
        <f t="shared" si="1"/>
        <v/>
      </c>
      <c r="T20" s="1297"/>
      <c r="U20" s="183"/>
      <c r="V20" s="1296">
        <f t="shared" si="3"/>
        <v>0</v>
      </c>
      <c r="X20" s="721" t="s">
        <v>825</v>
      </c>
      <c r="Y20" s="543"/>
      <c r="Z20" s="543"/>
      <c r="AA20" s="1149"/>
    </row>
    <row r="21" spans="1:27" x14ac:dyDescent="0.35">
      <c r="A21" s="1132"/>
      <c r="B21" s="579"/>
      <c r="C21" s="186"/>
      <c r="D21" s="579"/>
      <c r="E21" s="579"/>
      <c r="F21" s="861" t="str">
        <f>IFERROR(VLOOKUP($B21&amp;"|"&amp;$E21,'Carbon factors'!$AA$7:$AB$160,2,0),"")</f>
        <v/>
      </c>
      <c r="G21" s="584" t="str">
        <f t="shared" si="0"/>
        <v/>
      </c>
      <c r="H21" s="584"/>
      <c r="I21" s="186"/>
      <c r="J21" s="501" t="str" cm="1">
        <f t="array" ref="J21">IFERROR((_xlfn.IFS(I21=$AA$10,"3",I21=$AA$11,"2",I21=$AA$12,"1",I21=$AA$13,"1"))*P21,"")</f>
        <v/>
      </c>
      <c r="K21" s="168"/>
      <c r="L21" s="186"/>
      <c r="M21" s="183" t="str">
        <f>IFERROR(K21/VLOOKUP(L21,'$ Conversion'!$A$9:$B$40,2,0),"")</f>
        <v/>
      </c>
      <c r="N21" s="212"/>
      <c r="O21" s="1121" t="str">
        <f>IFERROR(VLOOKUP($B21,'Carbon factors'!$AD$7:$AE$12,2,0),"")</f>
        <v/>
      </c>
      <c r="P21" s="501" t="str">
        <f t="shared" si="2"/>
        <v/>
      </c>
      <c r="Q21" s="590" t="s">
        <v>181</v>
      </c>
      <c r="R21" s="674" t="str">
        <f t="shared" si="1"/>
        <v/>
      </c>
      <c r="T21" s="1297"/>
      <c r="U21" s="183"/>
      <c r="V21" s="1296">
        <f t="shared" si="3"/>
        <v>0</v>
      </c>
      <c r="X21" s="721" t="s">
        <v>826</v>
      </c>
      <c r="Y21" s="543"/>
      <c r="Z21" s="543"/>
      <c r="AA21" s="1149"/>
    </row>
    <row r="22" spans="1:27" x14ac:dyDescent="0.35">
      <c r="A22" s="1132"/>
      <c r="B22" s="579"/>
      <c r="C22" s="186"/>
      <c r="D22" s="579"/>
      <c r="E22" s="579"/>
      <c r="F22" s="861" t="str">
        <f>IFERROR(VLOOKUP($B22&amp;"|"&amp;$E22,'Carbon factors'!$AA$7:$AB$160,2,0),"")</f>
        <v/>
      </c>
      <c r="G22" s="584" t="str">
        <f t="shared" si="0"/>
        <v/>
      </c>
      <c r="H22" s="584"/>
      <c r="I22" s="186"/>
      <c r="J22" s="501" t="str" cm="1">
        <f t="array" ref="J22">IFERROR((_xlfn.IFS(I22=$AA$10,"3",I22=$AA$11,"2",I22=$AA$12,"1",I22=$AA$13,"1"))*P22,"")</f>
        <v/>
      </c>
      <c r="K22" s="168"/>
      <c r="L22" s="186"/>
      <c r="M22" s="183" t="str">
        <f>IFERROR(K22/VLOOKUP(L22,'$ Conversion'!$A$9:$B$40,2,0),"")</f>
        <v/>
      </c>
      <c r="N22" s="212"/>
      <c r="O22" s="1121" t="str">
        <f>IFERROR(VLOOKUP($B22,'Carbon factors'!$AD$7:$AE$12,2,0),"")</f>
        <v/>
      </c>
      <c r="P22" s="501" t="str">
        <f t="shared" si="2"/>
        <v/>
      </c>
      <c r="Q22" s="590" t="s">
        <v>181</v>
      </c>
      <c r="R22" s="674" t="str">
        <f t="shared" si="1"/>
        <v/>
      </c>
      <c r="T22" s="1297"/>
      <c r="U22" s="183"/>
      <c r="V22" s="1296">
        <f t="shared" si="3"/>
        <v>0</v>
      </c>
      <c r="X22" s="721" t="s">
        <v>827</v>
      </c>
      <c r="Y22" s="543"/>
      <c r="Z22" s="543"/>
      <c r="AA22" s="1149"/>
    </row>
    <row r="23" spans="1:27" x14ac:dyDescent="0.35">
      <c r="A23" s="1132"/>
      <c r="B23" s="579"/>
      <c r="C23" s="186"/>
      <c r="D23" s="579"/>
      <c r="E23" s="579"/>
      <c r="F23" s="861" t="str">
        <f>IFERROR(VLOOKUP($B23&amp;"|"&amp;$E23,'Carbon factors'!$AA$7:$AB$160,2,0),"")</f>
        <v/>
      </c>
      <c r="G23" s="584" t="str">
        <f t="shared" si="0"/>
        <v/>
      </c>
      <c r="H23" s="584"/>
      <c r="I23" s="186"/>
      <c r="J23" s="501" t="str" cm="1">
        <f t="array" ref="J23">IFERROR((_xlfn.IFS(I23=$AA$10,"3",I23=$AA$11,"2",I23=$AA$12,"1",I23=$AA$13,"1"))*P23,"")</f>
        <v/>
      </c>
      <c r="K23" s="168"/>
      <c r="L23" s="186"/>
      <c r="M23" s="183" t="str">
        <f>IFERROR(K23/VLOOKUP(L23,'$ Conversion'!$A$9:$B$40,2,0),"")</f>
        <v/>
      </c>
      <c r="N23" s="212"/>
      <c r="O23" s="1121" t="str">
        <f>IFERROR(VLOOKUP($B23,'Carbon factors'!$AD$7:$AE$12,2,0),"")</f>
        <v/>
      </c>
      <c r="P23" s="501" t="str">
        <f t="shared" si="2"/>
        <v/>
      </c>
      <c r="Q23" s="590" t="s">
        <v>181</v>
      </c>
      <c r="R23" s="674" t="str">
        <f t="shared" si="1"/>
        <v/>
      </c>
      <c r="T23" s="1297"/>
      <c r="U23" s="183"/>
      <c r="V23" s="1296">
        <f t="shared" si="3"/>
        <v>0</v>
      </c>
      <c r="X23" s="721" t="s">
        <v>828</v>
      </c>
      <c r="Y23" s="543"/>
      <c r="Z23" s="543"/>
      <c r="AA23" s="1149"/>
    </row>
    <row r="24" spans="1:27" x14ac:dyDescent="0.35">
      <c r="A24" s="1132"/>
      <c r="B24" s="579"/>
      <c r="C24" s="186"/>
      <c r="D24" s="579"/>
      <c r="E24" s="579"/>
      <c r="F24" s="861" t="str">
        <f>IFERROR(VLOOKUP($B24&amp;"|"&amp;$E24,'Carbon factors'!$AA$7:$AB$160,2,0),"")</f>
        <v/>
      </c>
      <c r="G24" s="584" t="str">
        <f t="shared" si="0"/>
        <v/>
      </c>
      <c r="H24" s="584"/>
      <c r="I24" s="186"/>
      <c r="J24" s="501" t="str" cm="1">
        <f t="array" ref="J24">IFERROR((_xlfn.IFS(I24=$AA$10,"3",I24=$AA$11,"2",I24=$AA$12,"1",I24=$AA$13,"1"))*P24,"")</f>
        <v/>
      </c>
      <c r="K24" s="168"/>
      <c r="L24" s="186"/>
      <c r="M24" s="183" t="str">
        <f>IFERROR(K24/VLOOKUP(L24,'$ Conversion'!$A$9:$B$40,2,0),"")</f>
        <v/>
      </c>
      <c r="N24" s="212"/>
      <c r="O24" s="1121" t="str">
        <f>IFERROR(VLOOKUP($B24,'Carbon factors'!$AD$7:$AE$12,2,0),"")</f>
        <v/>
      </c>
      <c r="P24" s="501" t="str">
        <f t="shared" si="2"/>
        <v/>
      </c>
      <c r="Q24" s="590" t="s">
        <v>181</v>
      </c>
      <c r="R24" s="674" t="str">
        <f t="shared" si="1"/>
        <v/>
      </c>
      <c r="T24" s="1297"/>
      <c r="U24" s="183"/>
      <c r="V24" s="1296">
        <f t="shared" si="3"/>
        <v>0</v>
      </c>
      <c r="X24" s="721" t="s">
        <v>829</v>
      </c>
      <c r="Y24" s="543"/>
      <c r="Z24" s="543"/>
      <c r="AA24" s="1149"/>
    </row>
    <row r="25" spans="1:27" x14ac:dyDescent="0.35">
      <c r="A25" s="1132"/>
      <c r="B25" s="579"/>
      <c r="C25" s="186"/>
      <c r="D25" s="579"/>
      <c r="E25" s="579"/>
      <c r="F25" s="861" t="str">
        <f>IFERROR(VLOOKUP($B25&amp;"|"&amp;$E25,'Carbon factors'!$AA$7:$AB$160,2,0),"")</f>
        <v/>
      </c>
      <c r="G25" s="584" t="str">
        <f t="shared" si="0"/>
        <v/>
      </c>
      <c r="H25" s="584"/>
      <c r="I25" s="186"/>
      <c r="J25" s="501" t="str" cm="1">
        <f t="array" ref="J25">IFERROR((_xlfn.IFS(I25=$AA$10,"3",I25=$AA$11,"2",I25=$AA$12,"1",I25=$AA$13,"1"))*P25,"")</f>
        <v/>
      </c>
      <c r="K25" s="168"/>
      <c r="L25" s="186"/>
      <c r="M25" s="183" t="str">
        <f>IFERROR(K25/VLOOKUP(L25,'$ Conversion'!$A$9:$B$40,2,0),"")</f>
        <v/>
      </c>
      <c r="N25" s="212"/>
      <c r="O25" s="1121" t="str">
        <f>IFERROR(VLOOKUP($B25,'Carbon factors'!$AD$7:$AE$12,2,0),"")</f>
        <v/>
      </c>
      <c r="P25" s="501" t="str">
        <f t="shared" si="2"/>
        <v/>
      </c>
      <c r="Q25" s="590" t="s">
        <v>181</v>
      </c>
      <c r="R25" s="674" t="str">
        <f t="shared" si="1"/>
        <v/>
      </c>
      <c r="T25" s="1297"/>
      <c r="U25" s="183"/>
      <c r="V25" s="1296">
        <f t="shared" si="3"/>
        <v>0</v>
      </c>
      <c r="X25" s="722" t="s">
        <v>830</v>
      </c>
      <c r="Y25" s="543"/>
      <c r="Z25" s="543"/>
      <c r="AA25" s="1149"/>
    </row>
    <row r="26" spans="1:27" x14ac:dyDescent="0.35">
      <c r="A26" s="1132"/>
      <c r="B26" s="579"/>
      <c r="C26" s="186"/>
      <c r="D26" s="579"/>
      <c r="E26" s="579"/>
      <c r="F26" s="861" t="str">
        <f>IFERROR(VLOOKUP($B26&amp;"|"&amp;$E26,'Carbon factors'!$AA$7:$AB$160,2,0),"")</f>
        <v/>
      </c>
      <c r="G26" s="584" t="str">
        <f t="shared" si="0"/>
        <v/>
      </c>
      <c r="H26" s="584"/>
      <c r="I26" s="186"/>
      <c r="J26" s="501" t="str" cm="1">
        <f t="array" ref="J26">IFERROR((_xlfn.IFS(I26=$AA$10,"3",I26=$AA$11,"2",I26=$AA$12,"1",I26=$AA$13,"1"))*P26,"")</f>
        <v/>
      </c>
      <c r="K26" s="168"/>
      <c r="L26" s="186"/>
      <c r="M26" s="183" t="str">
        <f>IFERROR(K26/VLOOKUP(L26,'$ Conversion'!$A$9:$B$40,2,0),"")</f>
        <v/>
      </c>
      <c r="N26" s="212"/>
      <c r="O26" s="1121" t="str">
        <f>IFERROR(VLOOKUP($B26,'Carbon factors'!$AD$7:$AE$12,2,0),"")</f>
        <v/>
      </c>
      <c r="P26" s="501" t="str">
        <f t="shared" si="2"/>
        <v/>
      </c>
      <c r="Q26" s="590" t="s">
        <v>181</v>
      </c>
      <c r="R26" s="674" t="str">
        <f t="shared" si="1"/>
        <v/>
      </c>
      <c r="T26" s="1297"/>
      <c r="U26" s="183"/>
      <c r="V26" s="1296">
        <f t="shared" si="3"/>
        <v>0</v>
      </c>
      <c r="X26" s="722" t="s">
        <v>831</v>
      </c>
      <c r="Y26" s="543"/>
      <c r="Z26" s="543"/>
      <c r="AA26" s="1149"/>
    </row>
    <row r="27" spans="1:27" x14ac:dyDescent="0.35">
      <c r="A27" s="1132"/>
      <c r="B27" s="579"/>
      <c r="C27" s="186"/>
      <c r="D27" s="579"/>
      <c r="E27" s="579"/>
      <c r="F27" s="861" t="str">
        <f>IFERROR(VLOOKUP($B27&amp;"|"&amp;$E27,'Carbon factors'!$AA$7:$AB$160,2,0),"")</f>
        <v/>
      </c>
      <c r="G27" s="584" t="str">
        <f t="shared" si="0"/>
        <v/>
      </c>
      <c r="H27" s="584"/>
      <c r="I27" s="186"/>
      <c r="J27" s="501" t="str" cm="1">
        <f t="array" ref="J27">IFERROR((_xlfn.IFS(I27=$AA$10,"3",I27=$AA$11,"2",I27=$AA$12,"1",I27=$AA$13,"1"))*P27,"")</f>
        <v/>
      </c>
      <c r="K27" s="168"/>
      <c r="L27" s="186"/>
      <c r="M27" s="183" t="str">
        <f>IFERROR(K27/VLOOKUP(L27,'$ Conversion'!$A$9:$B$40,2,0),"")</f>
        <v/>
      </c>
      <c r="N27" s="212"/>
      <c r="O27" s="1121" t="str">
        <f>IFERROR(VLOOKUP($B27,'Carbon factors'!$AD$7:$AE$12,2,0),"")</f>
        <v/>
      </c>
      <c r="P27" s="501" t="str">
        <f t="shared" si="2"/>
        <v/>
      </c>
      <c r="Q27" s="590" t="s">
        <v>181</v>
      </c>
      <c r="R27" s="674" t="str">
        <f t="shared" si="1"/>
        <v/>
      </c>
      <c r="T27" s="1297"/>
      <c r="U27" s="183"/>
      <c r="V27" s="1296">
        <f t="shared" si="3"/>
        <v>0</v>
      </c>
      <c r="X27" s="722" t="s">
        <v>832</v>
      </c>
      <c r="Y27" s="543"/>
      <c r="Z27" s="543"/>
      <c r="AA27" s="1149"/>
    </row>
    <row r="28" spans="1:27" x14ac:dyDescent="0.35">
      <c r="A28" s="1132"/>
      <c r="B28" s="579"/>
      <c r="C28" s="186"/>
      <c r="D28" s="579"/>
      <c r="E28" s="579"/>
      <c r="F28" s="861" t="str">
        <f>IFERROR(VLOOKUP($B28&amp;"|"&amp;$E28,'Carbon factors'!$AA$7:$AB$160,2,0),"")</f>
        <v/>
      </c>
      <c r="G28" s="584" t="str">
        <f t="shared" si="0"/>
        <v/>
      </c>
      <c r="H28" s="584"/>
      <c r="I28" s="186"/>
      <c r="J28" s="501" t="str" cm="1">
        <f t="array" ref="J28">IFERROR((_xlfn.IFS(I28=$AA$10,"3",I28=$AA$11,"2",I28=$AA$12,"1",I28=$AA$13,"1"))*P28,"")</f>
        <v/>
      </c>
      <c r="K28" s="168"/>
      <c r="L28" s="186"/>
      <c r="M28" s="183" t="str">
        <f>IFERROR(K28/VLOOKUP(L28,'$ Conversion'!$A$9:$B$40,2,0),"")</f>
        <v/>
      </c>
      <c r="N28" s="212"/>
      <c r="O28" s="1121" t="str">
        <f>IFERROR(VLOOKUP($B28,'Carbon factors'!$AD$7:$AE$12,2,0),"")</f>
        <v/>
      </c>
      <c r="P28" s="501" t="str">
        <f t="shared" si="2"/>
        <v/>
      </c>
      <c r="Q28" s="590" t="s">
        <v>181</v>
      </c>
      <c r="R28" s="674" t="str">
        <f t="shared" si="1"/>
        <v/>
      </c>
      <c r="T28" s="1297"/>
      <c r="U28" s="183"/>
      <c r="V28" s="1296">
        <f t="shared" si="3"/>
        <v>0</v>
      </c>
      <c r="X28" s="722" t="s">
        <v>792</v>
      </c>
      <c r="Y28" s="543"/>
      <c r="Z28" s="543"/>
      <c r="AA28" s="1149"/>
    </row>
    <row r="29" spans="1:27" x14ac:dyDescent="0.35">
      <c r="A29" s="1132"/>
      <c r="B29" s="579"/>
      <c r="C29" s="186"/>
      <c r="D29" s="579"/>
      <c r="E29" s="579"/>
      <c r="F29" s="861" t="str">
        <f>IFERROR(VLOOKUP($B29&amp;"|"&amp;$E29,'Carbon factors'!$AA$7:$AB$160,2,0),"")</f>
        <v/>
      </c>
      <c r="G29" s="584" t="str">
        <f t="shared" si="0"/>
        <v/>
      </c>
      <c r="H29" s="584"/>
      <c r="I29" s="186"/>
      <c r="J29" s="501" t="str" cm="1">
        <f t="array" ref="J29">IFERROR((_xlfn.IFS(I29=$AA$10,"3",I29=$AA$11,"2",I29=$AA$12,"1",I29=$AA$13,"1"))*P29,"")</f>
        <v/>
      </c>
      <c r="K29" s="168"/>
      <c r="L29" s="186"/>
      <c r="M29" s="183" t="str">
        <f>IFERROR(K29/VLOOKUP(L29,'$ Conversion'!$A$9:$B$40,2,0),"")</f>
        <v/>
      </c>
      <c r="N29" s="212"/>
      <c r="O29" s="1121" t="str">
        <f>IFERROR(VLOOKUP($B29,'Carbon factors'!$AD$7:$AE$12,2,0),"")</f>
        <v/>
      </c>
      <c r="P29" s="501" t="str">
        <f t="shared" si="2"/>
        <v/>
      </c>
      <c r="Q29" s="590" t="s">
        <v>181</v>
      </c>
      <c r="R29" s="674" t="str">
        <f t="shared" si="1"/>
        <v/>
      </c>
      <c r="T29" s="1297"/>
      <c r="U29" s="183"/>
      <c r="V29" s="1296">
        <f t="shared" si="3"/>
        <v>0</v>
      </c>
      <c r="X29" s="722" t="s">
        <v>833</v>
      </c>
      <c r="Y29" s="543"/>
      <c r="Z29" s="543"/>
      <c r="AA29" s="1149"/>
    </row>
    <row r="30" spans="1:27" x14ac:dyDescent="0.35">
      <c r="A30" s="1132"/>
      <c r="B30" s="579"/>
      <c r="C30" s="186"/>
      <c r="D30" s="579"/>
      <c r="E30" s="579"/>
      <c r="F30" s="861" t="str">
        <f>IFERROR(VLOOKUP($B30&amp;"|"&amp;$E30,'Carbon factors'!$AA$7:$AB$160,2,0),"")</f>
        <v/>
      </c>
      <c r="G30" s="584" t="str">
        <f t="shared" si="0"/>
        <v/>
      </c>
      <c r="H30" s="584"/>
      <c r="I30" s="186"/>
      <c r="J30" s="501" t="str" cm="1">
        <f t="array" ref="J30">IFERROR((_xlfn.IFS(I30=$AA$10,"3",I30=$AA$11,"2",I30=$AA$12,"1",I30=$AA$13,"1"))*P30,"")</f>
        <v/>
      </c>
      <c r="K30" s="168"/>
      <c r="L30" s="186"/>
      <c r="M30" s="183" t="str">
        <f>IFERROR(K30/VLOOKUP(L30,'$ Conversion'!$A$9:$B$40,2,0),"")</f>
        <v/>
      </c>
      <c r="N30" s="212"/>
      <c r="O30" s="1121" t="str">
        <f>IFERROR(VLOOKUP($B30,'Carbon factors'!$AD$7:$AE$12,2,0),"")</f>
        <v/>
      </c>
      <c r="P30" s="501" t="str">
        <f t="shared" si="2"/>
        <v/>
      </c>
      <c r="Q30" s="590" t="s">
        <v>181</v>
      </c>
      <c r="R30" s="674" t="str">
        <f t="shared" si="1"/>
        <v/>
      </c>
      <c r="T30" s="1297"/>
      <c r="U30" s="183"/>
      <c r="V30" s="1296">
        <f t="shared" si="3"/>
        <v>0</v>
      </c>
      <c r="X30" s="721" t="s">
        <v>834</v>
      </c>
      <c r="Y30" s="543"/>
      <c r="Z30" s="543"/>
      <c r="AA30" s="1149"/>
    </row>
    <row r="31" spans="1:27" x14ac:dyDescent="0.35">
      <c r="A31" s="1132"/>
      <c r="B31" s="579"/>
      <c r="C31" s="186"/>
      <c r="D31" s="579"/>
      <c r="E31" s="579"/>
      <c r="F31" s="861" t="str">
        <f>IFERROR(VLOOKUP($B31&amp;"|"&amp;$E31,'Carbon factors'!$AA$7:$AB$160,2,0),"")</f>
        <v/>
      </c>
      <c r="G31" s="584" t="str">
        <f t="shared" si="0"/>
        <v/>
      </c>
      <c r="H31" s="584"/>
      <c r="I31" s="186"/>
      <c r="J31" s="501" t="str" cm="1">
        <f t="array" ref="J31">IFERROR((_xlfn.IFS(I31=$AA$10,"3",I31=$AA$11,"2",I31=$AA$12,"1",I31=$AA$13,"1"))*P31,"")</f>
        <v/>
      </c>
      <c r="K31" s="168"/>
      <c r="L31" s="186"/>
      <c r="M31" s="183" t="str">
        <f>IFERROR(K31/VLOOKUP(L31,'$ Conversion'!$A$9:$B$40,2,0),"")</f>
        <v/>
      </c>
      <c r="N31" s="212"/>
      <c r="O31" s="1121" t="str">
        <f>IFERROR(VLOOKUP($B31,'Carbon factors'!$AD$7:$AE$12,2,0),"")</f>
        <v/>
      </c>
      <c r="P31" s="501" t="str">
        <f t="shared" si="2"/>
        <v/>
      </c>
      <c r="Q31" s="590" t="s">
        <v>181</v>
      </c>
      <c r="R31" s="674" t="str">
        <f t="shared" si="1"/>
        <v/>
      </c>
      <c r="T31" s="1297"/>
      <c r="U31" s="183"/>
      <c r="V31" s="1296">
        <f t="shared" si="3"/>
        <v>0</v>
      </c>
      <c r="X31" s="721" t="s">
        <v>835</v>
      </c>
      <c r="Y31" s="543"/>
      <c r="Z31" s="543"/>
      <c r="AA31" s="1149"/>
    </row>
    <row r="32" spans="1:27" x14ac:dyDescent="0.35">
      <c r="A32" s="1132"/>
      <c r="B32" s="579"/>
      <c r="C32" s="186"/>
      <c r="D32" s="579"/>
      <c r="E32" s="579"/>
      <c r="F32" s="861" t="str">
        <f>IFERROR(VLOOKUP($B32&amp;"|"&amp;$E32,'Carbon factors'!$AA$7:$AB$160,2,0),"")</f>
        <v/>
      </c>
      <c r="G32" s="584" t="str">
        <f t="shared" si="0"/>
        <v/>
      </c>
      <c r="H32" s="584"/>
      <c r="I32" s="186"/>
      <c r="J32" s="501" t="str" cm="1">
        <f t="array" ref="J32">IFERROR((_xlfn.IFS(I32=$AA$10,"3",I32=$AA$11,"2",I32=$AA$12,"1",I32=$AA$13,"1"))*P32,"")</f>
        <v/>
      </c>
      <c r="K32" s="168"/>
      <c r="L32" s="186"/>
      <c r="M32" s="183" t="str">
        <f>IFERROR(K32/VLOOKUP(L32,'$ Conversion'!$A$9:$B$40,2,0),"")</f>
        <v/>
      </c>
      <c r="N32" s="212"/>
      <c r="O32" s="1121" t="str">
        <f>IFERROR(VLOOKUP($B32,'Carbon factors'!$AD$7:$AE$12,2,0),"")</f>
        <v/>
      </c>
      <c r="P32" s="501" t="str">
        <f t="shared" si="2"/>
        <v/>
      </c>
      <c r="Q32" s="590" t="s">
        <v>181</v>
      </c>
      <c r="R32" s="674" t="str">
        <f t="shared" si="1"/>
        <v/>
      </c>
      <c r="T32" s="1297"/>
      <c r="U32" s="183"/>
      <c r="V32" s="1296">
        <f t="shared" si="3"/>
        <v>0</v>
      </c>
      <c r="X32" s="721" t="s">
        <v>836</v>
      </c>
      <c r="Y32" s="543"/>
      <c r="Z32" s="543"/>
      <c r="AA32" s="1149"/>
    </row>
    <row r="33" spans="1:27" x14ac:dyDescent="0.35">
      <c r="A33" s="1132"/>
      <c r="B33" s="579"/>
      <c r="C33" s="186"/>
      <c r="D33" s="579"/>
      <c r="E33" s="579"/>
      <c r="F33" s="861" t="str">
        <f>IFERROR(VLOOKUP($B33&amp;"|"&amp;$E33,'Carbon factors'!$AA$7:$AB$160,2,0),"")</f>
        <v/>
      </c>
      <c r="G33" s="584" t="str">
        <f t="shared" si="0"/>
        <v/>
      </c>
      <c r="H33" s="584"/>
      <c r="I33" s="186"/>
      <c r="J33" s="501" t="str" cm="1">
        <f t="array" ref="J33">IFERROR((_xlfn.IFS(I33=$AA$10,"3",I33=$AA$11,"2",I33=$AA$12,"1",I33=$AA$13,"1"))*P33,"")</f>
        <v/>
      </c>
      <c r="K33" s="168"/>
      <c r="L33" s="186"/>
      <c r="M33" s="183" t="str">
        <f>IFERROR(K33/VLOOKUP(L33,'$ Conversion'!$A$9:$B$40,2,0),"")</f>
        <v/>
      </c>
      <c r="N33" s="212"/>
      <c r="O33" s="1121" t="str">
        <f>IFERROR(VLOOKUP($B33,'Carbon factors'!$AD$7:$AE$12,2,0),"")</f>
        <v/>
      </c>
      <c r="P33" s="501" t="str">
        <f t="shared" si="2"/>
        <v/>
      </c>
      <c r="Q33" s="590" t="s">
        <v>181</v>
      </c>
      <c r="R33" s="674" t="str">
        <f t="shared" si="1"/>
        <v/>
      </c>
      <c r="T33" s="1297"/>
      <c r="U33" s="183"/>
      <c r="V33" s="1296">
        <f t="shared" si="3"/>
        <v>0</v>
      </c>
      <c r="X33" s="722" t="s">
        <v>837</v>
      </c>
      <c r="Y33" s="543"/>
      <c r="Z33" s="543"/>
      <c r="AA33" s="1149"/>
    </row>
    <row r="34" spans="1:27" x14ac:dyDescent="0.35">
      <c r="A34" s="1132"/>
      <c r="B34" s="579"/>
      <c r="C34" s="186"/>
      <c r="D34" s="579"/>
      <c r="E34" s="579"/>
      <c r="F34" s="861" t="str">
        <f>IFERROR(VLOOKUP($B34&amp;"|"&amp;$E34,'Carbon factors'!$AA$7:$AB$160,2,0),"")</f>
        <v/>
      </c>
      <c r="G34" s="584" t="str">
        <f t="shared" si="0"/>
        <v/>
      </c>
      <c r="H34" s="584"/>
      <c r="I34" s="186"/>
      <c r="J34" s="501" t="str" cm="1">
        <f t="array" ref="J34">IFERROR((_xlfn.IFS(I34=$AA$10,"3",I34=$AA$11,"2",I34=$AA$12,"1",I34=$AA$13,"1"))*P34,"")</f>
        <v/>
      </c>
      <c r="K34" s="168"/>
      <c r="L34" s="186"/>
      <c r="M34" s="183" t="str">
        <f>IFERROR(K34/VLOOKUP(L34,'$ Conversion'!$A$9:$B$40,2,0),"")</f>
        <v/>
      </c>
      <c r="N34" s="212"/>
      <c r="O34" s="1121" t="str">
        <f>IFERROR(VLOOKUP($B34,'Carbon factors'!$AD$7:$AE$12,2,0),"")</f>
        <v/>
      </c>
      <c r="P34" s="501" t="str">
        <f t="shared" si="2"/>
        <v/>
      </c>
      <c r="Q34" s="590" t="s">
        <v>181</v>
      </c>
      <c r="R34" s="674" t="str">
        <f t="shared" si="1"/>
        <v/>
      </c>
      <c r="T34" s="1297"/>
      <c r="U34" s="183"/>
      <c r="V34" s="1296">
        <f t="shared" si="3"/>
        <v>0</v>
      </c>
      <c r="X34" s="722" t="s">
        <v>838</v>
      </c>
      <c r="Y34" s="543"/>
      <c r="Z34" s="543"/>
      <c r="AA34" s="1149"/>
    </row>
    <row r="35" spans="1:27" x14ac:dyDescent="0.35">
      <c r="A35" s="1132"/>
      <c r="B35" s="579"/>
      <c r="C35" s="186"/>
      <c r="D35" s="579"/>
      <c r="E35" s="579"/>
      <c r="F35" s="861" t="str">
        <f>IFERROR(VLOOKUP($B35&amp;"|"&amp;$E35,'Carbon factors'!$AA$7:$AB$160,2,0),"")</f>
        <v/>
      </c>
      <c r="G35" s="584" t="str">
        <f t="shared" si="0"/>
        <v/>
      </c>
      <c r="H35" s="584"/>
      <c r="I35" s="186"/>
      <c r="J35" s="501" t="str" cm="1">
        <f t="array" ref="J35">IFERROR((_xlfn.IFS(I35=$AA$10,"3",I35=$AA$11,"2",I35=$AA$12,"1",I35=$AA$13,"1"))*P35,"")</f>
        <v/>
      </c>
      <c r="K35" s="168"/>
      <c r="L35" s="186"/>
      <c r="M35" s="183" t="str">
        <f>IFERROR(K35/VLOOKUP(L35,'$ Conversion'!$A$9:$B$40,2,0),"")</f>
        <v/>
      </c>
      <c r="N35" s="212"/>
      <c r="O35" s="1121" t="str">
        <f>IFERROR(VLOOKUP($B35,'Carbon factors'!$AD$7:$AE$12,2,0),"")</f>
        <v/>
      </c>
      <c r="P35" s="501" t="str">
        <f t="shared" si="2"/>
        <v/>
      </c>
      <c r="Q35" s="590" t="s">
        <v>181</v>
      </c>
      <c r="R35" s="674" t="str">
        <f t="shared" si="1"/>
        <v/>
      </c>
      <c r="T35" s="1297"/>
      <c r="U35" s="183"/>
      <c r="V35" s="1296">
        <f t="shared" si="3"/>
        <v>0</v>
      </c>
      <c r="X35" s="722" t="s">
        <v>839</v>
      </c>
      <c r="Y35" s="543"/>
      <c r="Z35" s="543"/>
      <c r="AA35" s="1149"/>
    </row>
    <row r="36" spans="1:27" ht="15" thickBot="1" x14ac:dyDescent="0.4">
      <c r="A36" s="1132"/>
      <c r="B36" s="579"/>
      <c r="C36" s="186"/>
      <c r="D36" s="579"/>
      <c r="E36" s="579"/>
      <c r="F36" s="861" t="str">
        <f>IFERROR(VLOOKUP($B36&amp;"|"&amp;$E36,'Carbon factors'!$AA$7:$AB$160,2,0),"")</f>
        <v/>
      </c>
      <c r="G36" s="584" t="str">
        <f t="shared" si="0"/>
        <v/>
      </c>
      <c r="H36" s="584"/>
      <c r="I36" s="186"/>
      <c r="J36" s="501" t="str" cm="1">
        <f t="array" ref="J36">IFERROR((_xlfn.IFS(I36=$AA$10,"3",I36=$AA$11,"2",I36=$AA$12,"1",I36=$AA$13,"1"))*P36,"")</f>
        <v/>
      </c>
      <c r="K36" s="168"/>
      <c r="L36" s="186"/>
      <c r="M36" s="183" t="str">
        <f>IFERROR(K36/VLOOKUP(L36,'$ Conversion'!$A$9:$B$40,2,0),"")</f>
        <v/>
      </c>
      <c r="N36" s="212"/>
      <c r="O36" s="1121" t="str">
        <f>IFERROR(VLOOKUP($B36,'Carbon factors'!$AD$7:$AE$12,2,0),"")</f>
        <v/>
      </c>
      <c r="P36" s="501" t="str">
        <f t="shared" si="2"/>
        <v/>
      </c>
      <c r="Q36" s="590" t="s">
        <v>181</v>
      </c>
      <c r="R36" s="674" t="str">
        <f t="shared" si="1"/>
        <v/>
      </c>
      <c r="T36" s="1297"/>
      <c r="U36" s="183"/>
      <c r="V36" s="1296">
        <f t="shared" si="3"/>
        <v>0</v>
      </c>
      <c r="X36" s="1128"/>
      <c r="Y36" s="713"/>
      <c r="Z36" s="713"/>
      <c r="AA36" s="1150"/>
    </row>
    <row r="37" spans="1:27" x14ac:dyDescent="0.35">
      <c r="A37" s="1132"/>
      <c r="B37" s="579"/>
      <c r="C37" s="186"/>
      <c r="D37" s="579"/>
      <c r="E37" s="579"/>
      <c r="F37" s="861" t="str">
        <f>IFERROR(VLOOKUP($B37&amp;"|"&amp;$E37,'Carbon factors'!$AA$7:$AB$160,2,0),"")</f>
        <v/>
      </c>
      <c r="G37" s="584" t="str">
        <f t="shared" si="0"/>
        <v/>
      </c>
      <c r="H37" s="584"/>
      <c r="I37" s="186"/>
      <c r="J37" s="501" t="str" cm="1">
        <f t="array" ref="J37">IFERROR((_xlfn.IFS(I37=$AA$10,"3",I37=$AA$11,"2",I37=$AA$12,"1",I37=$AA$13,"1"))*P37,"")</f>
        <v/>
      </c>
      <c r="K37" s="168"/>
      <c r="L37" s="186"/>
      <c r="M37" s="183" t="str">
        <f>IFERROR(K37/VLOOKUP(L37,'$ Conversion'!$A$9:$B$40,2,0),"")</f>
        <v/>
      </c>
      <c r="N37" s="212"/>
      <c r="O37" s="1121" t="str">
        <f>IFERROR(VLOOKUP($B37,'Carbon factors'!$AD$7:$AE$12,2,0),"")</f>
        <v/>
      </c>
      <c r="P37" s="501" t="str">
        <f t="shared" si="2"/>
        <v/>
      </c>
      <c r="Q37" s="590" t="s">
        <v>181</v>
      </c>
      <c r="R37" s="674" t="str">
        <f t="shared" si="1"/>
        <v/>
      </c>
      <c r="T37" s="1297"/>
      <c r="U37" s="183"/>
      <c r="V37" s="1296">
        <f t="shared" si="3"/>
        <v>0</v>
      </c>
      <c r="AA37" s="320"/>
    </row>
    <row r="38" spans="1:27" x14ac:dyDescent="0.35">
      <c r="A38" s="1132"/>
      <c r="B38" s="579"/>
      <c r="C38" s="186"/>
      <c r="D38" s="579"/>
      <c r="E38" s="579"/>
      <c r="F38" s="861" t="str">
        <f>IFERROR(VLOOKUP($B38&amp;"|"&amp;$E38,'Carbon factors'!$AA$7:$AB$160,2,0),"")</f>
        <v/>
      </c>
      <c r="G38" s="584" t="str">
        <f t="shared" si="0"/>
        <v/>
      </c>
      <c r="H38" s="584"/>
      <c r="I38" s="186"/>
      <c r="J38" s="501" t="str" cm="1">
        <f t="array" ref="J38">IFERROR((_xlfn.IFS(I38=$AA$10,"3",I38=$AA$11,"2",I38=$AA$12,"1",I38=$AA$13,"1"))*P38,"")</f>
        <v/>
      </c>
      <c r="K38" s="168"/>
      <c r="L38" s="186"/>
      <c r="M38" s="183" t="str">
        <f>IFERROR(K38/VLOOKUP(L38,'$ Conversion'!$A$9:$B$40,2,0),"")</f>
        <v/>
      </c>
      <c r="N38" s="212"/>
      <c r="O38" s="1121" t="str">
        <f>IFERROR(VLOOKUP($B38,'Carbon factors'!$AD$7:$AE$12,2,0),"")</f>
        <v/>
      </c>
      <c r="P38" s="501" t="str">
        <f t="shared" si="2"/>
        <v/>
      </c>
      <c r="Q38" s="590" t="s">
        <v>181</v>
      </c>
      <c r="R38" s="674" t="str">
        <f t="shared" si="1"/>
        <v/>
      </c>
      <c r="T38" s="1297"/>
      <c r="U38" s="183"/>
      <c r="V38" s="1296">
        <f t="shared" si="3"/>
        <v>0</v>
      </c>
      <c r="AA38" s="320"/>
    </row>
    <row r="39" spans="1:27" x14ac:dyDescent="0.35">
      <c r="A39" s="1132"/>
      <c r="B39" s="579"/>
      <c r="C39" s="186"/>
      <c r="D39" s="579"/>
      <c r="E39" s="579"/>
      <c r="F39" s="861" t="str">
        <f>IFERROR(VLOOKUP($B39&amp;"|"&amp;$E39,'Carbon factors'!$AA$7:$AB$160,2,0),"")</f>
        <v/>
      </c>
      <c r="G39" s="584" t="str">
        <f t="shared" si="0"/>
        <v/>
      </c>
      <c r="H39" s="584"/>
      <c r="I39" s="186"/>
      <c r="J39" s="501" t="str" cm="1">
        <f t="array" ref="J39">IFERROR((_xlfn.IFS(I39=$AA$10,"3",I39=$AA$11,"2",I39=$AA$12,"1",I39=$AA$13,"1"))*P39,"")</f>
        <v/>
      </c>
      <c r="K39" s="168"/>
      <c r="L39" s="186"/>
      <c r="M39" s="183" t="str">
        <f>IFERROR(K39/VLOOKUP(L39,'$ Conversion'!$A$9:$B$40,2,0),"")</f>
        <v/>
      </c>
      <c r="N39" s="212"/>
      <c r="O39" s="1121" t="str">
        <f>IFERROR(VLOOKUP($B39,'Carbon factors'!$AD$7:$AE$12,2,0),"")</f>
        <v/>
      </c>
      <c r="P39" s="501" t="str">
        <f t="shared" si="2"/>
        <v/>
      </c>
      <c r="Q39" s="590" t="s">
        <v>181</v>
      </c>
      <c r="R39" s="674" t="str">
        <f t="shared" si="1"/>
        <v/>
      </c>
      <c r="T39" s="1297"/>
      <c r="U39" s="183"/>
      <c r="V39" s="1296">
        <f t="shared" si="3"/>
        <v>0</v>
      </c>
      <c r="AA39" s="320"/>
    </row>
    <row r="40" spans="1:27" x14ac:dyDescent="0.35">
      <c r="A40" s="1132"/>
      <c r="B40" s="579"/>
      <c r="C40" s="186"/>
      <c r="D40" s="579"/>
      <c r="E40" s="579"/>
      <c r="F40" s="861" t="str">
        <f>IFERROR(VLOOKUP($B40&amp;"|"&amp;$E40,'Carbon factors'!$AA$7:$AB$160,2,0),"")</f>
        <v/>
      </c>
      <c r="G40" s="584" t="str">
        <f t="shared" si="0"/>
        <v/>
      </c>
      <c r="H40" s="584"/>
      <c r="I40" s="186"/>
      <c r="J40" s="501" t="str" cm="1">
        <f t="array" ref="J40">IFERROR((_xlfn.IFS(I40=$AA$10,"3",I40=$AA$11,"2",I40=$AA$12,"1",I40=$AA$13,"1"))*P40,"")</f>
        <v/>
      </c>
      <c r="K40" s="168"/>
      <c r="L40" s="186"/>
      <c r="M40" s="183" t="str">
        <f>IFERROR(K40/VLOOKUP(L40,'$ Conversion'!$A$9:$B$40,2,0),"")</f>
        <v/>
      </c>
      <c r="N40" s="212"/>
      <c r="O40" s="1121" t="str">
        <f>IFERROR(VLOOKUP($B40,'Carbon factors'!$AD$7:$AE$12,2,0),"")</f>
        <v/>
      </c>
      <c r="P40" s="501" t="str">
        <f t="shared" si="2"/>
        <v/>
      </c>
      <c r="Q40" s="590" t="s">
        <v>181</v>
      </c>
      <c r="R40" s="674" t="str">
        <f t="shared" si="1"/>
        <v/>
      </c>
      <c r="T40" s="1297"/>
      <c r="U40" s="183"/>
      <c r="V40" s="1296">
        <f t="shared" si="3"/>
        <v>0</v>
      </c>
      <c r="AA40" s="320"/>
    </row>
    <row r="41" spans="1:27" x14ac:dyDescent="0.35">
      <c r="A41" s="1132"/>
      <c r="B41" s="579"/>
      <c r="C41" s="186"/>
      <c r="D41" s="579"/>
      <c r="E41" s="579"/>
      <c r="F41" s="861" t="str">
        <f>IFERROR(VLOOKUP($B41&amp;"|"&amp;$E41,'Carbon factors'!$AA$7:$AB$160,2,0),"")</f>
        <v/>
      </c>
      <c r="G41" s="584" t="str">
        <f t="shared" si="0"/>
        <v/>
      </c>
      <c r="H41" s="584"/>
      <c r="I41" s="186"/>
      <c r="J41" s="501" t="str" cm="1">
        <f t="array" ref="J41">IFERROR((_xlfn.IFS(I41=$AA$10,"3",I41=$AA$11,"2",I41=$AA$12,"1",I41=$AA$13,"1"))*P41,"")</f>
        <v/>
      </c>
      <c r="K41" s="168"/>
      <c r="L41" s="186"/>
      <c r="M41" s="183" t="str">
        <f>IFERROR(K41/VLOOKUP(L41,'$ Conversion'!$A$9:$B$40,2,0),"")</f>
        <v/>
      </c>
      <c r="N41" s="212"/>
      <c r="O41" s="1121" t="str">
        <f>IFERROR(VLOOKUP($B41,'Carbon factors'!$AD$7:$AE$12,2,0),"")</f>
        <v/>
      </c>
      <c r="P41" s="501" t="str">
        <f t="shared" si="2"/>
        <v/>
      </c>
      <c r="Q41" s="590" t="s">
        <v>181</v>
      </c>
      <c r="R41" s="674" t="str">
        <f t="shared" si="1"/>
        <v/>
      </c>
      <c r="T41" s="1297"/>
      <c r="U41" s="183"/>
      <c r="V41" s="1296">
        <f t="shared" si="3"/>
        <v>0</v>
      </c>
      <c r="AA41" s="320"/>
    </row>
    <row r="42" spans="1:27" x14ac:dyDescent="0.35">
      <c r="A42" s="1132"/>
      <c r="B42" s="579"/>
      <c r="C42" s="186"/>
      <c r="D42" s="579"/>
      <c r="E42" s="579"/>
      <c r="F42" s="861" t="str">
        <f>IFERROR(VLOOKUP($B42&amp;"|"&amp;$E42,'Carbon factors'!$AA$7:$AB$160,2,0),"")</f>
        <v/>
      </c>
      <c r="G42" s="584" t="str">
        <f t="shared" si="0"/>
        <v/>
      </c>
      <c r="H42" s="584"/>
      <c r="I42" s="186"/>
      <c r="J42" s="501" t="str" cm="1">
        <f t="array" ref="J42">IFERROR((_xlfn.IFS(I42=$AA$10,"3",I42=$AA$11,"2",I42=$AA$12,"1",I42=$AA$13,"1"))*P42,"")</f>
        <v/>
      </c>
      <c r="K42" s="168"/>
      <c r="L42" s="186"/>
      <c r="M42" s="183" t="str">
        <f>IFERROR(K42/VLOOKUP(L42,'$ Conversion'!$A$9:$B$40,2,0),"")</f>
        <v/>
      </c>
      <c r="N42" s="212"/>
      <c r="O42" s="1121" t="str">
        <f>IFERROR(VLOOKUP($B42,'Carbon factors'!$AD$7:$AE$12,2,0),"")</f>
        <v/>
      </c>
      <c r="P42" s="501" t="str">
        <f t="shared" si="2"/>
        <v/>
      </c>
      <c r="Q42" s="590" t="s">
        <v>181</v>
      </c>
      <c r="R42" s="674" t="str">
        <f t="shared" si="1"/>
        <v/>
      </c>
      <c r="T42" s="1297"/>
      <c r="U42" s="183"/>
      <c r="V42" s="1296">
        <f t="shared" si="3"/>
        <v>0</v>
      </c>
      <c r="AA42" s="320"/>
    </row>
    <row r="43" spans="1:27" x14ac:dyDescent="0.35">
      <c r="A43" s="1132"/>
      <c r="B43" s="579"/>
      <c r="C43" s="186"/>
      <c r="D43" s="579"/>
      <c r="E43" s="579"/>
      <c r="F43" s="861" t="str">
        <f>IFERROR(VLOOKUP($B43&amp;"|"&amp;$E43,'Carbon factors'!$AA$7:$AB$160,2,0),"")</f>
        <v/>
      </c>
      <c r="G43" s="584" t="str">
        <f t="shared" si="0"/>
        <v/>
      </c>
      <c r="H43" s="584"/>
      <c r="I43" s="186"/>
      <c r="J43" s="501" t="str" cm="1">
        <f t="array" ref="J43">IFERROR((_xlfn.IFS(I43=$AA$10,"3",I43=$AA$11,"2",I43=$AA$12,"1",I43=$AA$13,"1"))*P43,"")</f>
        <v/>
      </c>
      <c r="K43" s="168"/>
      <c r="L43" s="186"/>
      <c r="M43" s="183" t="str">
        <f>IFERROR(K43/VLOOKUP(L43,'$ Conversion'!$A$9:$B$40,2,0),"")</f>
        <v/>
      </c>
      <c r="N43" s="212"/>
      <c r="O43" s="1121" t="str">
        <f>IFERROR(VLOOKUP($B43,'Carbon factors'!$AD$7:$AE$12,2,0),"")</f>
        <v/>
      </c>
      <c r="P43" s="501" t="str">
        <f t="shared" si="2"/>
        <v/>
      </c>
      <c r="Q43" s="590" t="s">
        <v>181</v>
      </c>
      <c r="R43" s="674" t="str">
        <f t="shared" si="1"/>
        <v/>
      </c>
      <c r="T43" s="1297"/>
      <c r="U43" s="183"/>
      <c r="V43" s="1296">
        <f t="shared" si="3"/>
        <v>0</v>
      </c>
      <c r="AA43" s="320"/>
    </row>
    <row r="44" spans="1:27" x14ac:dyDescent="0.35">
      <c r="A44" s="1132"/>
      <c r="B44" s="579"/>
      <c r="C44" s="186"/>
      <c r="D44" s="579"/>
      <c r="E44" s="579"/>
      <c r="F44" s="861" t="str">
        <f>IFERROR(VLOOKUP($B44&amp;"|"&amp;$E44,'Carbon factors'!$AA$7:$AB$160,2,0),"")</f>
        <v/>
      </c>
      <c r="G44" s="584" t="str">
        <f t="shared" si="0"/>
        <v/>
      </c>
      <c r="H44" s="584"/>
      <c r="I44" s="186"/>
      <c r="J44" s="501" t="str" cm="1">
        <f t="array" ref="J44">IFERROR((_xlfn.IFS(I44=$AA$10,"3",I44=$AA$11,"2",I44=$AA$12,"1",I44=$AA$13,"1"))*P44,"")</f>
        <v/>
      </c>
      <c r="K44" s="168"/>
      <c r="L44" s="186"/>
      <c r="M44" s="183" t="str">
        <f>IFERROR(K44/VLOOKUP(L44,'$ Conversion'!$A$9:$B$40,2,0),"")</f>
        <v/>
      </c>
      <c r="N44" s="212"/>
      <c r="O44" s="1121" t="str">
        <f>IFERROR(VLOOKUP($B44,'Carbon factors'!$AD$7:$AE$12,2,0),"")</f>
        <v/>
      </c>
      <c r="P44" s="501" t="str">
        <f t="shared" si="2"/>
        <v/>
      </c>
      <c r="Q44" s="590" t="s">
        <v>181</v>
      </c>
      <c r="R44" s="674" t="str">
        <f t="shared" si="1"/>
        <v/>
      </c>
      <c r="T44" s="1297"/>
      <c r="U44" s="183"/>
      <c r="V44" s="1296">
        <f t="shared" si="3"/>
        <v>0</v>
      </c>
      <c r="AA44" s="320"/>
    </row>
    <row r="45" spans="1:27" x14ac:dyDescent="0.35">
      <c r="A45" s="1132"/>
      <c r="B45" s="579"/>
      <c r="C45" s="186"/>
      <c r="D45" s="579"/>
      <c r="E45" s="579"/>
      <c r="F45" s="861" t="str">
        <f>IFERROR(VLOOKUP($B45&amp;"|"&amp;$E45,'Carbon factors'!$AA$7:$AB$160,2,0),"")</f>
        <v/>
      </c>
      <c r="G45" s="584" t="str">
        <f t="shared" si="0"/>
        <v/>
      </c>
      <c r="H45" s="584"/>
      <c r="I45" s="186"/>
      <c r="J45" s="501" t="str" cm="1">
        <f t="array" ref="J45">IFERROR((_xlfn.IFS(I45=$AA$10,"3",I45=$AA$11,"2",I45=$AA$12,"1",I45=$AA$13,"1"))*P45,"")</f>
        <v/>
      </c>
      <c r="K45" s="168"/>
      <c r="L45" s="186"/>
      <c r="M45" s="183" t="str">
        <f>IFERROR(K45/VLOOKUP(L45,'$ Conversion'!$A$9:$B$40,2,0),"")</f>
        <v/>
      </c>
      <c r="N45" s="212"/>
      <c r="O45" s="1121" t="str">
        <f>IFERROR(VLOOKUP($B45,'Carbon factors'!$AD$7:$AE$12,2,0),"")</f>
        <v/>
      </c>
      <c r="P45" s="501" t="str">
        <f t="shared" si="2"/>
        <v/>
      </c>
      <c r="Q45" s="590" t="s">
        <v>181</v>
      </c>
      <c r="R45" s="674" t="str">
        <f t="shared" si="1"/>
        <v/>
      </c>
      <c r="T45" s="1297"/>
      <c r="U45" s="183"/>
      <c r="V45" s="1296">
        <f t="shared" si="3"/>
        <v>0</v>
      </c>
      <c r="AA45" s="320"/>
    </row>
    <row r="46" spans="1:27" x14ac:dyDescent="0.35">
      <c r="A46" s="1132"/>
      <c r="B46" s="579"/>
      <c r="C46" s="186"/>
      <c r="D46" s="579"/>
      <c r="E46" s="579"/>
      <c r="F46" s="861" t="str">
        <f>IFERROR(VLOOKUP($B46&amp;"|"&amp;$E46,'Carbon factors'!$AA$7:$AB$160,2,0),"")</f>
        <v/>
      </c>
      <c r="G46" s="584" t="str">
        <f t="shared" si="0"/>
        <v/>
      </c>
      <c r="H46" s="584"/>
      <c r="I46" s="186"/>
      <c r="J46" s="501" t="str" cm="1">
        <f t="array" ref="J46">IFERROR((_xlfn.IFS(I46=$AA$10,"3",I46=$AA$11,"2",I46=$AA$12,"1",I46=$AA$13,"1"))*P46,"")</f>
        <v/>
      </c>
      <c r="K46" s="168"/>
      <c r="L46" s="186"/>
      <c r="M46" s="183" t="str">
        <f>IFERROR(K46/VLOOKUP(L46,'$ Conversion'!$A$9:$B$40,2,0),"")</f>
        <v/>
      </c>
      <c r="N46" s="212"/>
      <c r="O46" s="1121" t="str">
        <f>IFERROR(VLOOKUP($B46,'Carbon factors'!$AD$7:$AE$12,2,0),"")</f>
        <v/>
      </c>
      <c r="P46" s="501" t="str">
        <f t="shared" si="2"/>
        <v/>
      </c>
      <c r="Q46" s="590" t="s">
        <v>181</v>
      </c>
      <c r="R46" s="674" t="str">
        <f t="shared" si="1"/>
        <v/>
      </c>
      <c r="T46" s="1297"/>
      <c r="U46" s="183"/>
      <c r="V46" s="1296">
        <f t="shared" si="3"/>
        <v>0</v>
      </c>
      <c r="AA46" s="320"/>
    </row>
    <row r="47" spans="1:27" x14ac:dyDescent="0.35">
      <c r="A47" s="1132"/>
      <c r="B47" s="579"/>
      <c r="C47" s="186"/>
      <c r="D47" s="579"/>
      <c r="E47" s="579"/>
      <c r="F47" s="861" t="str">
        <f>IFERROR(VLOOKUP($B47&amp;"|"&amp;$E47,'Carbon factors'!$AA$7:$AB$160,2,0),"")</f>
        <v/>
      </c>
      <c r="G47" s="584" t="str">
        <f t="shared" si="0"/>
        <v/>
      </c>
      <c r="H47" s="584"/>
      <c r="I47" s="186"/>
      <c r="J47" s="501" t="str" cm="1">
        <f t="array" ref="J47">IFERROR((_xlfn.IFS(I47=$AA$10,"3",I47=$AA$11,"2",I47=$AA$12,"1",I47=$AA$13,"1"))*P47,"")</f>
        <v/>
      </c>
      <c r="K47" s="168"/>
      <c r="L47" s="186"/>
      <c r="M47" s="183" t="str">
        <f>IFERROR(K47/VLOOKUP(L47,'$ Conversion'!$A$9:$B$40,2,0),"")</f>
        <v/>
      </c>
      <c r="N47" s="212"/>
      <c r="O47" s="1121" t="str">
        <f>IFERROR(VLOOKUP($B47,'Carbon factors'!$AD$7:$AE$12,2,0),"")</f>
        <v/>
      </c>
      <c r="P47" s="501" t="str">
        <f t="shared" si="2"/>
        <v/>
      </c>
      <c r="Q47" s="590" t="s">
        <v>181</v>
      </c>
      <c r="R47" s="674" t="str">
        <f t="shared" si="1"/>
        <v/>
      </c>
      <c r="T47" s="1297"/>
      <c r="U47" s="183"/>
      <c r="V47" s="1296">
        <f t="shared" si="3"/>
        <v>0</v>
      </c>
      <c r="AA47" s="320"/>
    </row>
    <row r="48" spans="1:27" x14ac:dyDescent="0.35">
      <c r="A48" s="1132"/>
      <c r="B48" s="579"/>
      <c r="C48" s="186"/>
      <c r="D48" s="579"/>
      <c r="E48" s="579"/>
      <c r="F48" s="861" t="str">
        <f>IFERROR(VLOOKUP($B48&amp;"|"&amp;$E48,'Carbon factors'!$AA$7:$AB$160,2,0),"")</f>
        <v/>
      </c>
      <c r="G48" s="584" t="str">
        <f t="shared" si="0"/>
        <v/>
      </c>
      <c r="H48" s="584"/>
      <c r="I48" s="186"/>
      <c r="J48" s="501" t="str" cm="1">
        <f t="array" ref="J48">IFERROR((_xlfn.IFS(I48=$AA$10,"3",I48=$AA$11,"2",I48=$AA$12,"1",I48=$AA$13,"1"))*P48,"")</f>
        <v/>
      </c>
      <c r="K48" s="168"/>
      <c r="L48" s="186"/>
      <c r="M48" s="183" t="str">
        <f>IFERROR(K48/VLOOKUP(L48,'$ Conversion'!$A$9:$B$40,2,0),"")</f>
        <v/>
      </c>
      <c r="N48" s="212"/>
      <c r="O48" s="1121" t="str">
        <f>IFERROR(VLOOKUP($B48,'Carbon factors'!$AD$7:$AE$12,2,0),"")</f>
        <v/>
      </c>
      <c r="P48" s="501" t="str">
        <f t="shared" si="2"/>
        <v/>
      </c>
      <c r="Q48" s="590" t="s">
        <v>181</v>
      </c>
      <c r="R48" s="674" t="str">
        <f t="shared" si="1"/>
        <v/>
      </c>
      <c r="T48" s="1297"/>
      <c r="U48" s="183"/>
      <c r="V48" s="1296">
        <f t="shared" si="3"/>
        <v>0</v>
      </c>
      <c r="AA48" s="320"/>
    </row>
    <row r="49" spans="1:27" x14ac:dyDescent="0.35">
      <c r="A49" s="1132"/>
      <c r="B49" s="579"/>
      <c r="C49" s="186"/>
      <c r="D49" s="579"/>
      <c r="E49" s="579"/>
      <c r="F49" s="861" t="str">
        <f>IFERROR(VLOOKUP($B49&amp;"|"&amp;$E49,'Carbon factors'!$AA$7:$AB$160,2,0),"")</f>
        <v/>
      </c>
      <c r="G49" s="584" t="str">
        <f t="shared" si="0"/>
        <v/>
      </c>
      <c r="H49" s="584"/>
      <c r="I49" s="186"/>
      <c r="J49" s="501" t="str" cm="1">
        <f t="array" ref="J49">IFERROR((_xlfn.IFS(I49=$AA$10,"3",I49=$AA$11,"2",I49=$AA$12,"1",I49=$AA$13,"1"))*P49,"")</f>
        <v/>
      </c>
      <c r="K49" s="168"/>
      <c r="L49" s="186"/>
      <c r="M49" s="183" t="str">
        <f>IFERROR(K49/VLOOKUP(L49,'$ Conversion'!$A$9:$B$40,2,0),"")</f>
        <v/>
      </c>
      <c r="N49" s="212"/>
      <c r="O49" s="1121" t="str">
        <f>IFERROR(VLOOKUP($B49,'Carbon factors'!$AD$7:$AE$12,2,0),"")</f>
        <v/>
      </c>
      <c r="P49" s="501" t="str">
        <f t="shared" si="2"/>
        <v/>
      </c>
      <c r="Q49" s="590" t="s">
        <v>181</v>
      </c>
      <c r="R49" s="674" t="str">
        <f t="shared" si="1"/>
        <v/>
      </c>
      <c r="T49" s="1297"/>
      <c r="U49" s="183"/>
      <c r="V49" s="1296">
        <f t="shared" si="3"/>
        <v>0</v>
      </c>
      <c r="AA49" s="320"/>
    </row>
    <row r="50" spans="1:27" x14ac:dyDescent="0.35">
      <c r="A50" s="1132"/>
      <c r="B50" s="579"/>
      <c r="C50" s="186"/>
      <c r="D50" s="579"/>
      <c r="E50" s="579"/>
      <c r="F50" s="861" t="str">
        <f>IFERROR(VLOOKUP($B50&amp;"|"&amp;$E50,'Carbon factors'!$AA$7:$AB$160,2,0),"")</f>
        <v/>
      </c>
      <c r="G50" s="584" t="str">
        <f t="shared" si="0"/>
        <v/>
      </c>
      <c r="H50" s="584"/>
      <c r="I50" s="186"/>
      <c r="J50" s="501" t="str" cm="1">
        <f t="array" ref="J50">IFERROR((_xlfn.IFS(I50=$AA$10,"3",I50=$AA$11,"2",I50=$AA$12,"1",I50=$AA$13,"1"))*P50,"")</f>
        <v/>
      </c>
      <c r="K50" s="168"/>
      <c r="L50" s="186"/>
      <c r="M50" s="183" t="str">
        <f>IFERROR(K50/VLOOKUP(L50,'$ Conversion'!$A$9:$B$40,2,0),"")</f>
        <v/>
      </c>
      <c r="N50" s="212"/>
      <c r="O50" s="1121" t="str">
        <f>IFERROR(VLOOKUP($B50,'Carbon factors'!$AD$7:$AE$12,2,0),"")</f>
        <v/>
      </c>
      <c r="P50" s="501" t="str">
        <f t="shared" si="2"/>
        <v/>
      </c>
      <c r="Q50" s="590" t="s">
        <v>181</v>
      </c>
      <c r="R50" s="674" t="str">
        <f t="shared" si="1"/>
        <v/>
      </c>
      <c r="T50" s="1297"/>
      <c r="U50" s="183"/>
      <c r="V50" s="1296">
        <f t="shared" si="3"/>
        <v>0</v>
      </c>
      <c r="AA50" s="320"/>
    </row>
    <row r="51" spans="1:27" x14ac:dyDescent="0.35">
      <c r="A51" s="1132"/>
      <c r="B51" s="579"/>
      <c r="C51" s="186"/>
      <c r="D51" s="579"/>
      <c r="E51" s="579"/>
      <c r="F51" s="861" t="str">
        <f>IFERROR(VLOOKUP($B51&amp;"|"&amp;$E51,'Carbon factors'!$AA$7:$AB$160,2,0),"")</f>
        <v/>
      </c>
      <c r="G51" s="584" t="str">
        <f t="shared" si="0"/>
        <v/>
      </c>
      <c r="H51" s="584"/>
      <c r="I51" s="186"/>
      <c r="J51" s="501" t="str" cm="1">
        <f t="array" ref="J51">IFERROR((_xlfn.IFS(I51=$AA$10,"3",I51=$AA$11,"2",I51=$AA$12,"1",I51=$AA$13,"1"))*P51,"")</f>
        <v/>
      </c>
      <c r="K51" s="168"/>
      <c r="L51" s="186"/>
      <c r="M51" s="183" t="str">
        <f>IFERROR(K51/VLOOKUP(L51,'$ Conversion'!$A$9:$B$40,2,0),"")</f>
        <v/>
      </c>
      <c r="N51" s="212"/>
      <c r="O51" s="1121" t="str">
        <f>IFERROR(VLOOKUP($B51,'Carbon factors'!$AD$7:$AE$12,2,0),"")</f>
        <v/>
      </c>
      <c r="P51" s="501" t="str">
        <f t="shared" si="2"/>
        <v/>
      </c>
      <c r="Q51" s="590" t="s">
        <v>181</v>
      </c>
      <c r="R51" s="674" t="str">
        <f t="shared" si="1"/>
        <v/>
      </c>
      <c r="T51" s="1297"/>
      <c r="U51" s="183"/>
      <c r="V51" s="1296">
        <f t="shared" si="3"/>
        <v>0</v>
      </c>
      <c r="AA51" s="320"/>
    </row>
    <row r="52" spans="1:27" x14ac:dyDescent="0.35">
      <c r="A52" s="1132"/>
      <c r="B52" s="579"/>
      <c r="C52" s="186"/>
      <c r="D52" s="579"/>
      <c r="E52" s="579"/>
      <c r="F52" s="861" t="str">
        <f>IFERROR(VLOOKUP($B52&amp;"|"&amp;$E52,'Carbon factors'!$AA$7:$AB$160,2,0),"")</f>
        <v/>
      </c>
      <c r="G52" s="584" t="str">
        <f t="shared" si="0"/>
        <v/>
      </c>
      <c r="H52" s="584"/>
      <c r="I52" s="186"/>
      <c r="J52" s="501" t="str" cm="1">
        <f t="array" ref="J52">IFERROR((_xlfn.IFS(I52=$AA$10,"3",I52=$AA$11,"2",I52=$AA$12,"1",I52=$AA$13,"1"))*P52,"")</f>
        <v/>
      </c>
      <c r="K52" s="168"/>
      <c r="L52" s="186"/>
      <c r="M52" s="183" t="str">
        <f>IFERROR(K52/VLOOKUP(L52,'$ Conversion'!$A$9:$B$40,2,0),"")</f>
        <v/>
      </c>
      <c r="N52" s="212"/>
      <c r="O52" s="1121" t="str">
        <f>IFERROR(VLOOKUP($B52,'Carbon factors'!$AD$7:$AE$12,2,0),"")</f>
        <v/>
      </c>
      <c r="P52" s="501" t="str">
        <f t="shared" si="2"/>
        <v/>
      </c>
      <c r="Q52" s="590" t="s">
        <v>181</v>
      </c>
      <c r="R52" s="674" t="str">
        <f t="shared" si="1"/>
        <v/>
      </c>
      <c r="T52" s="1297"/>
      <c r="U52" s="183"/>
      <c r="V52" s="1296">
        <f t="shared" si="3"/>
        <v>0</v>
      </c>
      <c r="AA52" s="320"/>
    </row>
    <row r="53" spans="1:27" x14ac:dyDescent="0.35">
      <c r="A53" s="1132"/>
      <c r="B53" s="579"/>
      <c r="C53" s="186"/>
      <c r="D53" s="579"/>
      <c r="E53" s="579"/>
      <c r="F53" s="861" t="str">
        <f>IFERROR(VLOOKUP($B53&amp;"|"&amp;$E53,'Carbon factors'!$AA$7:$AB$160,2,0),"")</f>
        <v/>
      </c>
      <c r="G53" s="584" t="str">
        <f t="shared" si="0"/>
        <v/>
      </c>
      <c r="H53" s="584"/>
      <c r="I53" s="186"/>
      <c r="J53" s="501" t="str" cm="1">
        <f t="array" ref="J53">IFERROR((_xlfn.IFS(I53=$AA$10,"3",I53=$AA$11,"2",I53=$AA$12,"1",I53=$AA$13,"1"))*P53,"")</f>
        <v/>
      </c>
      <c r="K53" s="168"/>
      <c r="L53" s="186"/>
      <c r="M53" s="183" t="str">
        <f>IFERROR(K53/VLOOKUP(L53,'$ Conversion'!$A$9:$B$40,2,0),"")</f>
        <v/>
      </c>
      <c r="N53" s="212"/>
      <c r="O53" s="1121" t="str">
        <f>IFERROR(VLOOKUP($B53,'Carbon factors'!$AD$7:$AE$12,2,0),"")</f>
        <v/>
      </c>
      <c r="P53" s="501" t="str">
        <f t="shared" si="2"/>
        <v/>
      </c>
      <c r="Q53" s="590" t="s">
        <v>181</v>
      </c>
      <c r="R53" s="674" t="str">
        <f t="shared" si="1"/>
        <v/>
      </c>
      <c r="T53" s="1297"/>
      <c r="U53" s="183"/>
      <c r="V53" s="1296">
        <f t="shared" si="3"/>
        <v>0</v>
      </c>
    </row>
    <row r="54" spans="1:27" ht="15" thickBot="1" x14ac:dyDescent="0.4">
      <c r="A54" s="1133"/>
      <c r="B54" s="580"/>
      <c r="C54" s="188"/>
      <c r="D54" s="580"/>
      <c r="E54" s="580"/>
      <c r="F54" s="862" t="str">
        <f>IFERROR(VLOOKUP($B54&amp;"|"&amp;$E54,'Carbon factors'!$AA$7:$AB$160,2,0),"")</f>
        <v/>
      </c>
      <c r="G54" s="585" t="str">
        <f t="shared" si="0"/>
        <v/>
      </c>
      <c r="H54" s="585"/>
      <c r="I54" s="188"/>
      <c r="J54" s="502" t="str" cm="1">
        <f t="array" ref="J54">IFERROR((_xlfn.IFS(I54=$AA$10,"3",I54=$AA$11,"2",I54=$AA$12,"1",I54=$AA$13,"1"))*P54,"")</f>
        <v/>
      </c>
      <c r="K54" s="187"/>
      <c r="L54" s="188"/>
      <c r="M54" s="184" t="str">
        <f>IFERROR(K54/VLOOKUP(L54,'$ Conversion'!$A$9:$B$40,2,0),"")</f>
        <v/>
      </c>
      <c r="N54" s="213"/>
      <c r="O54" s="1122" t="str">
        <f>IFERROR(VLOOKUP($B54,'Carbon factors'!$AD$7:$AE$12,2,0),"")</f>
        <v/>
      </c>
      <c r="P54" s="502" t="str">
        <f t="shared" si="2"/>
        <v/>
      </c>
      <c r="Q54" s="592" t="s">
        <v>181</v>
      </c>
      <c r="R54" s="675" t="str">
        <f t="shared" si="1"/>
        <v/>
      </c>
      <c r="T54" s="1455"/>
      <c r="U54" s="184"/>
      <c r="V54" s="1456">
        <f t="shared" si="3"/>
        <v>0</v>
      </c>
    </row>
    <row r="55" spans="1:27" x14ac:dyDescent="0.35">
      <c r="H55" s="4"/>
      <c r="I55" s="694"/>
      <c r="J55"/>
      <c r="O55" s="668"/>
      <c r="P55"/>
      <c r="Q55" s="567"/>
      <c r="R55"/>
      <c r="W55" s="2"/>
    </row>
    <row r="56" spans="1:27" x14ac:dyDescent="0.35">
      <c r="H56" s="4"/>
      <c r="I56" s="694"/>
      <c r="J56"/>
      <c r="O56" s="668"/>
      <c r="P56"/>
      <c r="Q56" s="567"/>
      <c r="R56"/>
      <c r="W56" s="2"/>
    </row>
    <row r="57" spans="1:27" x14ac:dyDescent="0.35">
      <c r="H57" s="4"/>
      <c r="I57" s="694"/>
      <c r="J57"/>
      <c r="O57" s="668"/>
      <c r="P57"/>
      <c r="Q57" s="567"/>
      <c r="R57"/>
      <c r="W57" s="2"/>
    </row>
    <row r="58" spans="1:27" x14ac:dyDescent="0.35">
      <c r="H58" s="4"/>
      <c r="I58" s="694"/>
      <c r="J58"/>
      <c r="O58" s="668"/>
      <c r="P58"/>
      <c r="Q58" s="567"/>
      <c r="R58"/>
      <c r="W58" s="2"/>
    </row>
    <row r="59" spans="1:27" x14ac:dyDescent="0.35">
      <c r="H59" s="4"/>
      <c r="I59" s="694"/>
      <c r="J59"/>
      <c r="O59" s="668"/>
      <c r="P59"/>
      <c r="Q59" s="567"/>
      <c r="R59"/>
      <c r="W59" s="2"/>
    </row>
    <row r="60" spans="1:27" x14ac:dyDescent="0.35">
      <c r="H60" s="4"/>
      <c r="I60" s="694"/>
      <c r="J60"/>
      <c r="O60" s="668"/>
      <c r="P60"/>
      <c r="Q60" s="567"/>
      <c r="R60"/>
      <c r="W60" s="2"/>
    </row>
    <row r="61" spans="1:27" x14ac:dyDescent="0.35">
      <c r="H61" s="4"/>
      <c r="I61" s="694"/>
      <c r="J61"/>
      <c r="O61" s="668"/>
      <c r="P61"/>
      <c r="Q61" s="567"/>
      <c r="R61"/>
      <c r="W61" s="2"/>
    </row>
    <row r="62" spans="1:27" x14ac:dyDescent="0.35">
      <c r="H62" s="4"/>
      <c r="I62" s="694"/>
      <c r="J62"/>
      <c r="O62" s="668"/>
      <c r="P62"/>
      <c r="Q62" s="567"/>
      <c r="R62"/>
      <c r="W62" s="2"/>
    </row>
    <row r="63" spans="1:27" x14ac:dyDescent="0.35">
      <c r="H63" s="4"/>
      <c r="I63" s="694"/>
      <c r="J63"/>
      <c r="O63" s="668"/>
      <c r="P63"/>
      <c r="Q63" s="567"/>
      <c r="R63"/>
      <c r="W63" s="2"/>
    </row>
    <row r="64" spans="1:27" x14ac:dyDescent="0.35">
      <c r="H64" s="4"/>
      <c r="I64" s="694"/>
      <c r="J64"/>
      <c r="O64" s="668"/>
      <c r="P64"/>
      <c r="Q64" s="567"/>
      <c r="R64"/>
      <c r="W64" s="2"/>
    </row>
    <row r="65" spans="8:23" x14ac:dyDescent="0.35">
      <c r="H65" s="4"/>
      <c r="I65" s="694"/>
      <c r="J65"/>
      <c r="O65" s="668"/>
      <c r="P65"/>
      <c r="Q65" s="567"/>
      <c r="R65"/>
      <c r="W65" s="2"/>
    </row>
    <row r="66" spans="8:23" x14ac:dyDescent="0.35">
      <c r="H66" s="4"/>
      <c r="I66" s="668"/>
      <c r="J66"/>
      <c r="O66" s="668"/>
      <c r="P66"/>
      <c r="Q66" s="567"/>
      <c r="R66"/>
      <c r="W66" s="2"/>
    </row>
    <row r="67" spans="8:23" x14ac:dyDescent="0.35">
      <c r="H67" s="4"/>
      <c r="I67" s="668"/>
      <c r="J67"/>
      <c r="O67" s="668"/>
      <c r="P67"/>
      <c r="Q67" s="567"/>
      <c r="R67"/>
      <c r="W67" s="2"/>
    </row>
    <row r="68" spans="8:23" x14ac:dyDescent="0.35">
      <c r="H68" s="4"/>
      <c r="I68" s="668"/>
      <c r="J68"/>
      <c r="O68" s="668"/>
      <c r="P68"/>
      <c r="Q68" s="567"/>
      <c r="R68"/>
      <c r="W68" s="2"/>
    </row>
    <row r="69" spans="8:23" x14ac:dyDescent="0.35">
      <c r="H69" s="4"/>
      <c r="I69" s="668"/>
      <c r="J69"/>
      <c r="O69" s="668"/>
      <c r="P69"/>
      <c r="Q69" s="567"/>
      <c r="R69"/>
      <c r="W69" s="2"/>
    </row>
    <row r="70" spans="8:23" x14ac:dyDescent="0.35">
      <c r="H70" s="4"/>
      <c r="I70" s="668"/>
      <c r="J70"/>
      <c r="O70" s="668"/>
      <c r="P70"/>
      <c r="Q70" s="567"/>
      <c r="R70"/>
      <c r="W70" s="2"/>
    </row>
    <row r="71" spans="8:23" x14ac:dyDescent="0.35">
      <c r="H71" s="4"/>
      <c r="I71" s="668"/>
      <c r="J71"/>
      <c r="O71" s="668"/>
      <c r="P71"/>
      <c r="Q71" s="567"/>
      <c r="R71"/>
      <c r="W71" s="2"/>
    </row>
    <row r="72" spans="8:23" x14ac:dyDescent="0.35">
      <c r="H72" s="4"/>
      <c r="I72" s="668"/>
      <c r="J72"/>
      <c r="O72" s="668"/>
      <c r="P72"/>
      <c r="Q72" s="567"/>
      <c r="R72"/>
      <c r="W72" s="2"/>
    </row>
    <row r="73" spans="8:23" x14ac:dyDescent="0.35">
      <c r="H73" s="4"/>
      <c r="I73" s="668"/>
      <c r="J73"/>
      <c r="O73" s="668"/>
      <c r="P73"/>
      <c r="Q73" s="567"/>
      <c r="R73"/>
      <c r="W73" s="2"/>
    </row>
    <row r="74" spans="8:23" x14ac:dyDescent="0.35">
      <c r="H74" s="4"/>
      <c r="I74" s="668"/>
      <c r="J74"/>
      <c r="O74" s="668"/>
      <c r="P74"/>
      <c r="Q74" s="567"/>
      <c r="R74"/>
      <c r="W74" s="2"/>
    </row>
    <row r="75" spans="8:23" x14ac:dyDescent="0.35">
      <c r="H75" s="4"/>
      <c r="I75" s="668"/>
      <c r="J75"/>
      <c r="O75" s="668"/>
      <c r="P75"/>
      <c r="Q75" s="567"/>
      <c r="R75"/>
      <c r="W75" s="2"/>
    </row>
    <row r="76" spans="8:23" x14ac:dyDescent="0.35">
      <c r="H76" s="4"/>
      <c r="I76" s="668"/>
      <c r="J76"/>
      <c r="O76" s="668"/>
      <c r="P76"/>
      <c r="Q76" s="567"/>
      <c r="R76"/>
      <c r="W76" s="2"/>
    </row>
    <row r="77" spans="8:23" x14ac:dyDescent="0.35">
      <c r="H77" s="4"/>
      <c r="I77" s="668"/>
      <c r="J77"/>
      <c r="O77" s="668"/>
      <c r="P77"/>
      <c r="Q77" s="567"/>
      <c r="R77"/>
      <c r="W77" s="2"/>
    </row>
    <row r="78" spans="8:23" x14ac:dyDescent="0.35">
      <c r="H78" s="4"/>
      <c r="I78" s="668"/>
      <c r="J78"/>
      <c r="O78" s="668"/>
      <c r="P78"/>
      <c r="Q78" s="567"/>
      <c r="R78"/>
      <c r="W78" s="2"/>
    </row>
    <row r="79" spans="8:23" x14ac:dyDescent="0.35">
      <c r="H79" s="4"/>
      <c r="I79" s="668"/>
      <c r="J79"/>
      <c r="O79" s="668"/>
      <c r="P79"/>
      <c r="Q79" s="567"/>
      <c r="R79"/>
      <c r="W79" s="2"/>
    </row>
    <row r="80" spans="8:23" x14ac:dyDescent="0.35">
      <c r="H80" s="4"/>
      <c r="I80" s="668"/>
      <c r="J80"/>
      <c r="O80" s="668"/>
      <c r="P80"/>
      <c r="Q80" s="567"/>
      <c r="R80"/>
      <c r="W80" s="2"/>
    </row>
    <row r="81" spans="8:23" x14ac:dyDescent="0.35">
      <c r="H81" s="4"/>
      <c r="I81" s="668"/>
      <c r="J81"/>
      <c r="O81" s="668"/>
      <c r="P81"/>
      <c r="Q81" s="567"/>
      <c r="R81"/>
      <c r="W81" s="2"/>
    </row>
    <row r="82" spans="8:23" x14ac:dyDescent="0.35">
      <c r="H82" s="4"/>
      <c r="I82" s="668"/>
      <c r="J82"/>
      <c r="O82" s="668"/>
      <c r="P82"/>
      <c r="Q82" s="567"/>
      <c r="R82"/>
      <c r="W82" s="2"/>
    </row>
    <row r="83" spans="8:23" x14ac:dyDescent="0.35">
      <c r="H83" s="4"/>
      <c r="I83" s="668"/>
      <c r="J83"/>
      <c r="O83" s="668"/>
      <c r="P83"/>
      <c r="Q83" s="567"/>
      <c r="R83"/>
      <c r="W83" s="2"/>
    </row>
    <row r="84" spans="8:23" x14ac:dyDescent="0.35">
      <c r="H84" s="4"/>
      <c r="I84" s="668"/>
      <c r="J84"/>
      <c r="O84" s="668"/>
      <c r="P84"/>
      <c r="Q84" s="567"/>
      <c r="R84"/>
      <c r="W84" s="2"/>
    </row>
    <row r="85" spans="8:23" x14ac:dyDescent="0.35">
      <c r="H85" s="4"/>
      <c r="I85" s="668"/>
      <c r="J85"/>
      <c r="O85" s="668"/>
      <c r="P85"/>
      <c r="Q85" s="567"/>
      <c r="R85"/>
      <c r="W85" s="2"/>
    </row>
    <row r="86" spans="8:23" x14ac:dyDescent="0.35">
      <c r="H86" s="4"/>
      <c r="I86" s="668"/>
      <c r="J86"/>
      <c r="O86" s="668"/>
      <c r="P86"/>
      <c r="Q86" s="567"/>
      <c r="R86"/>
      <c r="W86" s="2"/>
    </row>
    <row r="87" spans="8:23" x14ac:dyDescent="0.35">
      <c r="H87" s="4"/>
      <c r="I87" s="668"/>
      <c r="J87"/>
      <c r="O87" s="668"/>
      <c r="P87"/>
      <c r="Q87" s="567"/>
      <c r="R87"/>
      <c r="W87" s="2"/>
    </row>
    <row r="88" spans="8:23" x14ac:dyDescent="0.35">
      <c r="H88" s="4"/>
      <c r="I88" s="668"/>
      <c r="J88"/>
      <c r="O88" s="668"/>
      <c r="P88"/>
      <c r="Q88" s="567"/>
      <c r="R88"/>
      <c r="W88" s="2"/>
    </row>
    <row r="89" spans="8:23" x14ac:dyDescent="0.35">
      <c r="H89" s="4"/>
      <c r="I89" s="668"/>
      <c r="J89"/>
      <c r="O89" s="668"/>
      <c r="P89"/>
      <c r="Q89" s="567"/>
      <c r="R89"/>
      <c r="W89" s="2"/>
    </row>
    <row r="90" spans="8:23" x14ac:dyDescent="0.35">
      <c r="H90" s="4"/>
      <c r="I90" s="668"/>
      <c r="J90"/>
      <c r="O90" s="668"/>
      <c r="P90"/>
      <c r="Q90" s="567"/>
      <c r="R90"/>
      <c r="W90" s="2"/>
    </row>
    <row r="91" spans="8:23" x14ac:dyDescent="0.35">
      <c r="H91" s="4"/>
      <c r="I91" s="668"/>
      <c r="J91"/>
      <c r="O91" s="668"/>
      <c r="P91"/>
      <c r="Q91" s="567"/>
      <c r="R91"/>
      <c r="W91" s="2"/>
    </row>
    <row r="92" spans="8:23" x14ac:dyDescent="0.35">
      <c r="H92" s="4"/>
      <c r="I92" s="668"/>
      <c r="J92"/>
      <c r="O92" s="668"/>
      <c r="P92"/>
      <c r="Q92" s="567"/>
      <c r="R92"/>
      <c r="W92" s="2"/>
    </row>
    <row r="93" spans="8:23" x14ac:dyDescent="0.35">
      <c r="H93" s="4"/>
      <c r="I93" s="668"/>
      <c r="J93"/>
      <c r="O93" s="668"/>
      <c r="P93"/>
      <c r="Q93" s="567"/>
      <c r="R93"/>
      <c r="W93" s="2"/>
    </row>
    <row r="94" spans="8:23" x14ac:dyDescent="0.35">
      <c r="H94" s="4"/>
      <c r="I94" s="668"/>
      <c r="J94"/>
      <c r="O94" s="668"/>
      <c r="P94"/>
      <c r="Q94" s="567"/>
      <c r="R94"/>
      <c r="W94" s="2"/>
    </row>
    <row r="95" spans="8:23" x14ac:dyDescent="0.35">
      <c r="H95" s="4"/>
      <c r="I95" s="668"/>
      <c r="J95"/>
      <c r="O95" s="668"/>
      <c r="P95"/>
      <c r="Q95" s="567"/>
      <c r="R95"/>
      <c r="W95" s="2"/>
    </row>
    <row r="96" spans="8:23" x14ac:dyDescent="0.35">
      <c r="H96" s="4"/>
      <c r="I96" s="668"/>
      <c r="J96"/>
      <c r="O96" s="668"/>
      <c r="P96"/>
      <c r="Q96" s="567"/>
      <c r="R96"/>
      <c r="W96" s="2"/>
    </row>
    <row r="97" spans="8:23" x14ac:dyDescent="0.35">
      <c r="H97" s="4"/>
      <c r="I97" s="668"/>
      <c r="J97"/>
      <c r="O97" s="668"/>
      <c r="P97"/>
      <c r="Q97" s="567"/>
      <c r="R97"/>
      <c r="W97" s="2"/>
    </row>
    <row r="98" spans="8:23" x14ac:dyDescent="0.35">
      <c r="H98" s="4"/>
      <c r="I98" s="668"/>
      <c r="J98"/>
      <c r="O98" s="668"/>
      <c r="P98"/>
      <c r="Q98" s="567"/>
      <c r="R98"/>
      <c r="W98" s="2"/>
    </row>
    <row r="99" spans="8:23" x14ac:dyDescent="0.35">
      <c r="H99" s="4"/>
      <c r="I99" s="668"/>
      <c r="J99"/>
      <c r="O99" s="668"/>
      <c r="P99"/>
      <c r="Q99" s="567"/>
      <c r="R99"/>
      <c r="W99" s="2"/>
    </row>
    <row r="100" spans="8:23" x14ac:dyDescent="0.35">
      <c r="H100" s="4"/>
      <c r="I100" s="668"/>
      <c r="J100"/>
      <c r="O100" s="668"/>
      <c r="P100"/>
      <c r="Q100" s="567"/>
      <c r="R100"/>
      <c r="W100" s="2"/>
    </row>
    <row r="101" spans="8:23" x14ac:dyDescent="0.35">
      <c r="H101" s="4"/>
      <c r="I101" s="668"/>
      <c r="J101"/>
      <c r="O101" s="668"/>
      <c r="P101"/>
      <c r="Q101" s="567"/>
      <c r="R101"/>
      <c r="W101" s="2"/>
    </row>
    <row r="102" spans="8:23" x14ac:dyDescent="0.35">
      <c r="H102" s="4"/>
      <c r="I102" s="668"/>
      <c r="J102"/>
      <c r="O102" s="668"/>
      <c r="P102"/>
      <c r="Q102" s="567"/>
      <c r="R102"/>
      <c r="W102" s="2"/>
    </row>
    <row r="103" spans="8:23" x14ac:dyDescent="0.35">
      <c r="H103" s="4"/>
      <c r="I103" s="668"/>
      <c r="J103"/>
      <c r="O103" s="668"/>
      <c r="P103"/>
      <c r="Q103" s="567"/>
      <c r="R103"/>
      <c r="W103" s="2"/>
    </row>
    <row r="104" spans="8:23" x14ac:dyDescent="0.35">
      <c r="H104" s="4"/>
      <c r="I104" s="668"/>
      <c r="J104"/>
      <c r="O104" s="668"/>
      <c r="P104"/>
      <c r="Q104" s="567"/>
      <c r="R104"/>
      <c r="W104" s="2"/>
    </row>
    <row r="105" spans="8:23" x14ac:dyDescent="0.35">
      <c r="H105" s="4"/>
      <c r="I105" s="668"/>
      <c r="J105"/>
      <c r="O105" s="668"/>
      <c r="P105"/>
      <c r="Q105" s="567"/>
      <c r="R105"/>
      <c r="W105" s="2"/>
    </row>
    <row r="106" spans="8:23" x14ac:dyDescent="0.35">
      <c r="H106" s="4"/>
      <c r="I106" s="668"/>
      <c r="J106"/>
      <c r="O106" s="668"/>
      <c r="P106"/>
      <c r="Q106" s="567"/>
      <c r="R106"/>
    </row>
    <row r="107" spans="8:23" x14ac:dyDescent="0.35">
      <c r="H107" s="4"/>
      <c r="I107" s="668"/>
      <c r="J107"/>
      <c r="O107" s="668"/>
      <c r="P107"/>
      <c r="Q107" s="567"/>
      <c r="R107"/>
    </row>
    <row r="108" spans="8:23" x14ac:dyDescent="0.35">
      <c r="H108" s="4"/>
      <c r="I108" s="668"/>
      <c r="J108"/>
      <c r="O108" s="668"/>
      <c r="P108"/>
      <c r="Q108" s="567"/>
      <c r="R108"/>
    </row>
  </sheetData>
  <sheetProtection algorithmName="SHA-512" hashValue="WXwB2frC7yjKPnGE/xpLq7loAYouCUgfyDkZGgZSqLMdShUZ0ymVJkyE8z4l3o4pw++MYVdP1uv74jWfM6mRiw==" saltValue="4YSlesVareJKLoMHB3aMyw==" spinCount="100000" sheet="1" objects="1" scenarios="1"/>
  <protectedRanges>
    <protectedRange sqref="I2 P7" name="Range3"/>
    <protectedRange sqref="A11:A54" name="Range2_2_1"/>
    <protectedRange sqref="N11:N54 B11:E54 K11:L54 H11:I54" name="Range1"/>
  </protectedRanges>
  <mergeCells count="11">
    <mergeCell ref="X8:AA8"/>
    <mergeCell ref="H2:H4"/>
    <mergeCell ref="D7:F7"/>
    <mergeCell ref="A1:B1"/>
    <mergeCell ref="A2:F2"/>
    <mergeCell ref="A3:F3"/>
    <mergeCell ref="A4:F4"/>
    <mergeCell ref="D6:F6"/>
    <mergeCell ref="O6:O7"/>
    <mergeCell ref="I2:R4"/>
    <mergeCell ref="C1:F1"/>
  </mergeCells>
  <conditionalFormatting sqref="F11:F54">
    <cfRule type="cellIs" dxfId="50" priority="8" operator="equal">
      <formula>"Check bottle size in Column E"</formula>
    </cfRule>
    <cfRule type="cellIs" dxfId="49" priority="9" operator="equal">
      <formula>"Gas not avaliable in 0.24 litres"</formula>
    </cfRule>
    <cfRule type="cellIs" dxfId="48" priority="10" operator="equal">
      <formula>"Gas only in 0.25 &amp; 0.125 litres"</formula>
    </cfRule>
    <cfRule type="cellIs" dxfId="47" priority="11" operator="equal">
      <formula>"Gas not avaliable in 0.125 litres"</formula>
    </cfRule>
    <cfRule type="cellIs" dxfId="46" priority="12" operator="equal">
      <formula>"Use an N2O cylinder size"</formula>
    </cfRule>
    <cfRule type="cellIs" dxfId="45" priority="13" operator="equal">
      <formula>"Gas only in 0.25 &amp; 0.1 litres"</formula>
    </cfRule>
    <cfRule type="cellIs" dxfId="44" priority="14" operator="equal">
      <formula>"Gas only in 0.25 litres"</formula>
    </cfRule>
    <cfRule type="cellIs" dxfId="43" priority="15" operator="equal">
      <formula>"Gas only in 0.24 litres"</formula>
    </cfRule>
  </conditionalFormatting>
  <conditionalFormatting sqref="G11:H54">
    <cfRule type="expression" dxfId="42" priority="3">
      <formula>E11="unlisted"</formula>
    </cfRule>
  </conditionalFormatting>
  <conditionalFormatting sqref="H11:H54">
    <cfRule type="expression" dxfId="41" priority="1">
      <formula>E11="unlisted"</formula>
    </cfRule>
  </conditionalFormatting>
  <conditionalFormatting sqref="P11:P54">
    <cfRule type="colorScale" priority="2">
      <colorScale>
        <cfvo type="min"/>
        <cfvo type="percentile" val="50"/>
        <cfvo type="max"/>
        <color rgb="FF63BE7B"/>
        <color rgb="FFFFEB84"/>
        <color rgb="FFF8696B"/>
      </colorScale>
    </cfRule>
  </conditionalFormatting>
  <dataValidations count="6">
    <dataValidation type="list" allowBlank="1" showInputMessage="1" showErrorMessage="1" sqref="C11:C54" xr:uid="{BC4AC9C4-59D6-47D6-A35D-7379BD68D5C5}">
      <formula1>$Z$10:$Z$13</formula1>
    </dataValidation>
    <dataValidation type="list" allowBlank="1" showInputMessage="1" showErrorMessage="1" sqref="I11:I54" xr:uid="{A58ABA3A-0DF4-4BAA-91CD-B675DE55933F}">
      <formula1>$AA$10:$AA$13</formula1>
    </dataValidation>
    <dataValidation type="list" allowBlank="1" showInputMessage="1" showErrorMessage="1" sqref="B11:B54" xr:uid="{EB257440-D42A-40BA-B51D-1204A4D94A20}">
      <formula1>$Y$10:$Y$15</formula1>
    </dataValidation>
    <dataValidation type="list" allowBlank="1" showInputMessage="1" showErrorMessage="1" sqref="P7" xr:uid="{41F970CC-9F28-49B4-97E6-F59A6CEBD5D1}">
      <formula1>$X$18:$X$35</formula1>
    </dataValidation>
    <dataValidation type="list" allowBlank="1" showInputMessage="1" showErrorMessage="1" sqref="E11:E54" xr:uid="{CABCBA77-62D4-429A-B8A6-A0A576C00CF7}">
      <formula1>$X$10:$X$35</formula1>
    </dataValidation>
    <dataValidation type="decimal" allowBlank="1" showInputMessage="1" showErrorMessage="1" errorTitle="number only" error="Enter a number only" sqref="D11:D54 F11:G54 K11:K53 K54" xr:uid="{5C59058A-ABB0-44EB-B088-FA59489DEDDE}">
      <formula1>0</formula1>
      <formula2>100000000000</formula2>
    </dataValidation>
  </dataValidations>
  <hyperlinks>
    <hyperlink ref="C1:F1" r:id="rId1" display="Eight hours of surgery using nitrous oxide and O2  has a similar impact on climate change to driving 1,000 km in a car" xr:uid="{8395566B-D8A3-4C43-AD42-EECCA454B05C}"/>
  </hyperlinks>
  <pageMargins left="0.7" right="0.7" top="0.75" bottom="0.75" header="0.3" footer="0.3"/>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577D0F1-0282-4B71-880F-48B3B118E896}">
          <x14:formula1>
            <xm:f>Buildings!$B$9:$B$41</xm:f>
          </x14:formula1>
          <xm:sqref>A11:A54</xm:sqref>
        </x14:dataValidation>
        <x14:dataValidation type="list" allowBlank="1" showInputMessage="1" showErrorMessage="1" xr:uid="{AEAF8E15-F9FD-4A9E-A691-19D053E5DA77}">
          <x14:formula1>
            <xm:f>'$ Conversion'!$A$9:$A$34</xm:f>
          </x14:formula1>
          <xm:sqref>L11:L54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60BC0-B8BC-4857-8E62-D543297E0A8D}">
  <sheetPr codeName="Sheet12">
    <tabColor rgb="FF00B050"/>
  </sheetPr>
  <dimension ref="A1:Z101"/>
  <sheetViews>
    <sheetView tabSelected="1" topLeftCell="B2" zoomScale="112" zoomScaleNormal="70" workbookViewId="0">
      <selection activeCell="N12" sqref="N12"/>
    </sheetView>
  </sheetViews>
  <sheetFormatPr defaultColWidth="17.26953125" defaultRowHeight="14.5" x14ac:dyDescent="0.35"/>
  <cols>
    <col min="1" max="1" width="44.1796875" customWidth="1"/>
    <col min="2" max="2" width="40.7265625" customWidth="1"/>
    <col min="3" max="4" width="26.81640625" customWidth="1"/>
    <col min="5" max="5" width="28.453125" customWidth="1"/>
    <col min="6" max="6" width="28.1796875" customWidth="1"/>
    <col min="7" max="7" width="29.1796875" customWidth="1"/>
    <col min="8" max="8" width="26.1796875" customWidth="1"/>
    <col min="9" max="9" width="29" style="4" customWidth="1"/>
    <col min="14" max="14" width="38.453125" customWidth="1"/>
    <col min="15" max="15" width="18.1796875" bestFit="1" customWidth="1"/>
    <col min="16" max="16" width="20.81640625" bestFit="1" customWidth="1"/>
    <col min="17" max="17" width="26.7265625" hidden="1" customWidth="1"/>
    <col min="18" max="19" width="25.1796875" customWidth="1"/>
    <col min="20" max="20" width="12.26953125" bestFit="1" customWidth="1"/>
    <col min="21" max="21" width="12.26953125" customWidth="1"/>
    <col min="22" max="22" width="18.1796875" hidden="1" customWidth="1"/>
    <col min="23" max="23" width="39.453125" hidden="1" customWidth="1"/>
    <col min="24" max="24" width="43.1796875" hidden="1" customWidth="1"/>
    <col min="25" max="25" width="47.1796875" hidden="1" customWidth="1"/>
    <col min="26" max="26" width="29.453125" hidden="1" customWidth="1"/>
  </cols>
  <sheetData>
    <row r="1" spans="1:26" ht="41.25" customHeight="1" thickBot="1" x14ac:dyDescent="0.4">
      <c r="A1" s="1901" t="s">
        <v>415</v>
      </c>
      <c r="B1" s="1902"/>
      <c r="C1" s="1898" t="s">
        <v>840</v>
      </c>
      <c r="D1" s="1899"/>
      <c r="E1" s="1900"/>
    </row>
    <row r="2" spans="1:26" ht="24.75" customHeight="1" thickBot="1" x14ac:dyDescent="0.4">
      <c r="A2" s="1682" t="s">
        <v>841</v>
      </c>
      <c r="B2" s="1683"/>
      <c r="C2" s="1683"/>
      <c r="D2" s="1683"/>
      <c r="E2" s="1684"/>
      <c r="F2" s="320"/>
      <c r="G2" s="4"/>
      <c r="I2"/>
      <c r="J2" s="1880" t="s">
        <v>309</v>
      </c>
      <c r="K2" s="1768" t="s">
        <v>509</v>
      </c>
      <c r="L2" s="1769"/>
      <c r="M2" s="1769"/>
      <c r="N2" s="1769"/>
      <c r="O2" s="1769"/>
      <c r="P2" s="1769"/>
      <c r="Q2" s="1769"/>
      <c r="R2" s="1769"/>
      <c r="S2" s="1769"/>
      <c r="T2" s="1770"/>
      <c r="U2" s="801"/>
    </row>
    <row r="3" spans="1:26" ht="30.75" customHeight="1" thickBot="1" x14ac:dyDescent="0.4">
      <c r="A3" s="1682" t="s">
        <v>842</v>
      </c>
      <c r="B3" s="1683"/>
      <c r="C3" s="1683"/>
      <c r="D3" s="1683"/>
      <c r="E3" s="1684"/>
      <c r="F3" s="320"/>
      <c r="G3" s="4"/>
      <c r="I3"/>
      <c r="J3" s="1881"/>
      <c r="K3" s="1771"/>
      <c r="L3" s="1772"/>
      <c r="M3" s="1772"/>
      <c r="N3" s="1772"/>
      <c r="O3" s="1772"/>
      <c r="P3" s="1772"/>
      <c r="Q3" s="1772"/>
      <c r="R3" s="1772"/>
      <c r="S3" s="1772"/>
      <c r="T3" s="1773"/>
      <c r="U3" s="801"/>
    </row>
    <row r="4" spans="1:26" ht="96" customHeight="1" thickBot="1" x14ac:dyDescent="0.4">
      <c r="A4" s="1682" t="s">
        <v>843</v>
      </c>
      <c r="B4" s="1683"/>
      <c r="C4" s="1683"/>
      <c r="D4" s="1683"/>
      <c r="E4" s="1684"/>
      <c r="F4" s="320"/>
      <c r="G4" s="4"/>
      <c r="I4"/>
      <c r="J4" s="1882"/>
      <c r="K4" s="1774"/>
      <c r="L4" s="1775"/>
      <c r="M4" s="1775"/>
      <c r="N4" s="1775"/>
      <c r="O4" s="1775"/>
      <c r="P4" s="1775"/>
      <c r="Q4" s="1775"/>
      <c r="R4" s="1775"/>
      <c r="S4" s="1775"/>
      <c r="T4" s="1776"/>
      <c r="U4" s="801"/>
    </row>
    <row r="5" spans="1:26" ht="15" thickBot="1" x14ac:dyDescent="0.4">
      <c r="I5"/>
      <c r="K5" s="4"/>
    </row>
    <row r="6" spans="1:26" ht="72" customHeight="1" x14ac:dyDescent="0.35">
      <c r="A6" s="463" t="s">
        <v>211</v>
      </c>
      <c r="B6" s="466">
        <f>(SUMIF(R12:R55, "Scope 1",P12:P55)/1000)+(SUMIF(S12:S55, "Scope 1",P12:P55)/1000)</f>
        <v>1.38</v>
      </c>
      <c r="C6" s="461" t="s">
        <v>316</v>
      </c>
      <c r="D6" s="1903" t="s">
        <v>844</v>
      </c>
      <c r="E6" s="1904"/>
      <c r="F6" s="394"/>
      <c r="I6"/>
      <c r="J6" s="1892" t="s">
        <v>845</v>
      </c>
      <c r="K6" s="1893"/>
      <c r="L6" s="1894"/>
      <c r="M6" s="1"/>
      <c r="N6" s="1884" t="s">
        <v>846</v>
      </c>
      <c r="O6" s="1886"/>
      <c r="P6" s="1878"/>
      <c r="Q6" s="1878"/>
      <c r="R6" s="1878"/>
      <c r="S6" s="1890"/>
      <c r="T6" s="1888"/>
      <c r="U6" s="1883"/>
    </row>
    <row r="7" spans="1:26" ht="67.5" customHeight="1" thickBot="1" x14ac:dyDescent="0.4">
      <c r="A7" s="464" t="s">
        <v>206</v>
      </c>
      <c r="B7" s="467">
        <f>(SUMIF(R12:R55, "Scope 3",P12:P55)/1000)+(SUMIF(S12:S55, "Scope 3",P12:P55)/1000)</f>
        <v>0</v>
      </c>
      <c r="C7" s="462" t="s">
        <v>316</v>
      </c>
      <c r="D7" s="1905"/>
      <c r="E7" s="1906"/>
      <c r="F7" s="394"/>
      <c r="I7"/>
      <c r="J7" s="1895" t="s">
        <v>847</v>
      </c>
      <c r="K7" s="1896"/>
      <c r="L7" s="1897"/>
      <c r="M7" s="1"/>
      <c r="N7" s="1885"/>
      <c r="O7" s="1887"/>
      <c r="P7" s="1879"/>
      <c r="Q7" s="1879"/>
      <c r="R7" s="1879"/>
      <c r="S7" s="1891"/>
      <c r="T7" s="1889"/>
      <c r="U7" s="1883"/>
    </row>
    <row r="8" spans="1:26" ht="58.5" customHeight="1" thickBot="1" x14ac:dyDescent="0.4">
      <c r="A8" s="465" t="s">
        <v>516</v>
      </c>
      <c r="B8" s="444">
        <f>IFERROR((SUM(J12:J55))/(SUM(P12:P55)*3),"")</f>
        <v>1</v>
      </c>
      <c r="C8" s="445" t="s">
        <v>517</v>
      </c>
      <c r="D8" s="1828" t="s">
        <v>647</v>
      </c>
      <c r="E8" s="1830"/>
      <c r="F8" s="417"/>
      <c r="H8" s="4"/>
    </row>
    <row r="9" spans="1:26" ht="19.5" customHeight="1" thickBot="1" x14ac:dyDescent="0.4">
      <c r="H9" s="4"/>
    </row>
    <row r="10" spans="1:26" ht="88.5" thickBot="1" x14ac:dyDescent="0.5">
      <c r="A10" s="171" t="s">
        <v>848</v>
      </c>
      <c r="B10" s="171" t="s">
        <v>849</v>
      </c>
      <c r="C10" s="171" t="s">
        <v>850</v>
      </c>
      <c r="D10" s="171" t="s">
        <v>851</v>
      </c>
      <c r="E10" s="171" t="s">
        <v>852</v>
      </c>
      <c r="F10" s="171" t="s">
        <v>853</v>
      </c>
      <c r="G10" s="171" t="s">
        <v>854</v>
      </c>
      <c r="H10" s="171" t="s">
        <v>855</v>
      </c>
      <c r="I10" s="171" t="s">
        <v>535</v>
      </c>
      <c r="J10" s="172" t="s">
        <v>536</v>
      </c>
      <c r="K10" s="172" t="s">
        <v>856</v>
      </c>
      <c r="L10" s="172" t="s">
        <v>142</v>
      </c>
      <c r="M10" s="172" t="s">
        <v>857</v>
      </c>
      <c r="N10" s="171" t="s">
        <v>619</v>
      </c>
      <c r="O10" s="172" t="s">
        <v>542</v>
      </c>
      <c r="P10" s="172" t="s">
        <v>543</v>
      </c>
      <c r="Q10" s="247" t="s">
        <v>858</v>
      </c>
      <c r="R10" s="234" t="s">
        <v>544</v>
      </c>
      <c r="S10" s="820" t="s">
        <v>545</v>
      </c>
      <c r="T10" s="573" t="s">
        <v>546</v>
      </c>
      <c r="U10" s="6"/>
      <c r="V10" s="1804" t="s">
        <v>325</v>
      </c>
      <c r="W10" s="1805"/>
      <c r="X10" s="1805"/>
      <c r="Y10" s="1805"/>
      <c r="Z10" s="1806"/>
    </row>
    <row r="11" spans="1:26" ht="44" thickBot="1" x14ac:dyDescent="0.4">
      <c r="A11" s="190" t="s">
        <v>329</v>
      </c>
      <c r="B11" s="190" t="s">
        <v>329</v>
      </c>
      <c r="C11" s="190" t="s">
        <v>467</v>
      </c>
      <c r="D11" s="190" t="s">
        <v>859</v>
      </c>
      <c r="E11" s="190" t="s">
        <v>859</v>
      </c>
      <c r="F11" s="190" t="s">
        <v>329</v>
      </c>
      <c r="G11" s="190" t="s">
        <v>860</v>
      </c>
      <c r="H11" s="190" t="s">
        <v>861</v>
      </c>
      <c r="I11" s="190" t="s">
        <v>329</v>
      </c>
      <c r="J11" s="190"/>
      <c r="K11" s="193" t="s">
        <v>467</v>
      </c>
      <c r="L11" s="190" t="s">
        <v>329</v>
      </c>
      <c r="M11" s="190" t="s">
        <v>556</v>
      </c>
      <c r="N11" s="190" t="s">
        <v>862</v>
      </c>
      <c r="O11" s="193" t="s">
        <v>614</v>
      </c>
      <c r="P11" s="190" t="s">
        <v>560</v>
      </c>
      <c r="Q11" s="248" t="s">
        <v>863</v>
      </c>
      <c r="R11" s="268"/>
      <c r="S11" s="914" t="s">
        <v>562</v>
      </c>
      <c r="T11" s="591" t="s">
        <v>556</v>
      </c>
      <c r="U11" s="6"/>
      <c r="V11" s="841" t="s">
        <v>533</v>
      </c>
      <c r="W11" s="842" t="s">
        <v>864</v>
      </c>
      <c r="X11" s="1134" t="s">
        <v>865</v>
      </c>
      <c r="Y11" s="842" t="s">
        <v>535</v>
      </c>
      <c r="Z11" s="1135" t="s">
        <v>175</v>
      </c>
    </row>
    <row r="12" spans="1:26" ht="29" x14ac:dyDescent="0.35">
      <c r="A12" s="897" t="s">
        <v>2593</v>
      </c>
      <c r="B12" s="578" t="s">
        <v>879</v>
      </c>
      <c r="C12" s="863">
        <v>15</v>
      </c>
      <c r="D12" s="863">
        <v>3.18</v>
      </c>
      <c r="E12" s="987">
        <f>D12*C12</f>
        <v>47.7</v>
      </c>
      <c r="F12" s="578" t="s">
        <v>868</v>
      </c>
      <c r="G12" s="435">
        <f>IFERROR((VLOOKUP(F12,'Refrigerant properties'!$A$7:$C$19,3,0)*E12),"")</f>
        <v>0.1431</v>
      </c>
      <c r="H12" s="576">
        <v>15</v>
      </c>
      <c r="I12" s="197" t="s">
        <v>869</v>
      </c>
      <c r="J12" s="500" cm="1">
        <f t="array" ref="J12">IFERROR((_xlfn.IFS(I12=$Y$12,"3",I12=$Y$13,"2",I12=$Y$14,"1",I12=$Y$15,"1"))*P12,"")</f>
        <v>4140</v>
      </c>
      <c r="K12" s="199">
        <v>205</v>
      </c>
      <c r="L12" s="197" t="s">
        <v>167</v>
      </c>
      <c r="M12" s="440" t="str">
        <f>IFERROR(K12/VLOOKUP(L12,'$ Conversion'!$A$9:$B$40,2,0),"")</f>
        <v/>
      </c>
      <c r="N12" s="209"/>
      <c r="O12" s="203">
        <f>IFERROR(VLOOKUP($B12,'Carbon factors'!$DL$7:$DM$96,2,0),"")</f>
        <v>92</v>
      </c>
      <c r="P12" s="500">
        <f>IFERROR(IF(H12&gt;0,(H12*O12),(O12*G12)),"")</f>
        <v>1380</v>
      </c>
      <c r="Q12" s="501" t="str">
        <f>IFERROR(VLOOKUP(A12,Buildings!$B$9:$D$41,3,0),"")</f>
        <v>y</v>
      </c>
      <c r="R12" s="811" t="str" cm="1">
        <f t="array" ref="R12">IFERROR(_xlfn.IFS(Q12="Y","Scope 1",Q12="N","Scope 3",Q12="Unknown","Manually Select Scope -&gt;"),"")</f>
        <v>Scope 1</v>
      </c>
      <c r="S12" s="1235"/>
      <c r="T12" s="866" t="str">
        <f>IFERROR(IF(H12&gt;0,(H12*M12),(M12*G12)),"")</f>
        <v/>
      </c>
      <c r="V12" s="549" t="s">
        <v>866</v>
      </c>
      <c r="W12" s="282" t="s">
        <v>867</v>
      </c>
      <c r="X12" s="812" t="s">
        <v>868</v>
      </c>
      <c r="Y12" s="282" t="s">
        <v>869</v>
      </c>
      <c r="Z12" s="550" t="s">
        <v>181</v>
      </c>
    </row>
    <row r="13" spans="1:26" x14ac:dyDescent="0.35">
      <c r="A13" s="898"/>
      <c r="B13" s="579"/>
      <c r="C13" s="864"/>
      <c r="D13" s="864"/>
      <c r="E13" s="988">
        <f t="shared" ref="E13:E55" si="0">D13*C13</f>
        <v>0</v>
      </c>
      <c r="F13" s="579"/>
      <c r="G13" s="179" t="str">
        <f>IFERROR((VLOOKUP(F13,'Refrigerant properties'!$A$7:$C$19,3,0)*E13),"")</f>
        <v/>
      </c>
      <c r="H13" s="577"/>
      <c r="I13" s="186"/>
      <c r="J13" s="501" t="str" cm="1">
        <f t="array" ref="J13">IFERROR((_xlfn.IFS(I13=$Y$12,"3",I13=$Y$13,"2",I13=$Y$14,"1",I13=$Y$15,"1"))*P13,"")</f>
        <v/>
      </c>
      <c r="K13" s="168"/>
      <c r="L13" s="186"/>
      <c r="M13" s="183" t="str">
        <f>IFERROR(K13/VLOOKUP(L13,'$ Conversion'!$A$9:$B$40,2,0),"")</f>
        <v/>
      </c>
      <c r="N13" s="212"/>
      <c r="O13" s="207" t="str">
        <f>IFERROR(VLOOKUP($B13,'Carbon factors'!$DL$7:$DM$96,2,0),"")</f>
        <v/>
      </c>
      <c r="P13" s="501" t="str">
        <f t="shared" ref="P13:P55" si="1">IFERROR(IF(H13&gt;0,(H13*O13),(O13*G13)),"")</f>
        <v/>
      </c>
      <c r="Q13" s="501" t="str">
        <f>IFERROR(VLOOKUP(A13,Buildings!$B$9:$D$41,3,0),"")</f>
        <v/>
      </c>
      <c r="R13" s="195" t="str" cm="1">
        <f t="array" ref="R13">IFERROR(_xlfn.IFS(Q13="Y","Scope 1",Q13="N","Scope 3",Q13="Unknown","Manually Select Scope -&gt;"),"")</f>
        <v/>
      </c>
      <c r="S13" s="1236"/>
      <c r="T13" s="867" t="str">
        <f t="shared" ref="T13:T55" si="2">IFERROR(IF(H13&gt;0,(H13*M13),(M13*G13)),"")</f>
        <v/>
      </c>
      <c r="V13" s="263"/>
      <c r="W13" s="159" t="s">
        <v>870</v>
      </c>
      <c r="X13" s="605" t="s">
        <v>871</v>
      </c>
      <c r="Y13" s="159" t="s">
        <v>872</v>
      </c>
      <c r="Z13" s="524" t="s">
        <v>188</v>
      </c>
    </row>
    <row r="14" spans="1:26" x14ac:dyDescent="0.35">
      <c r="A14" s="898"/>
      <c r="B14" s="579"/>
      <c r="C14" s="864"/>
      <c r="D14" s="864"/>
      <c r="E14" s="988">
        <f t="shared" si="0"/>
        <v>0</v>
      </c>
      <c r="F14" s="579"/>
      <c r="G14" s="179" t="str">
        <f>IFERROR((VLOOKUP(F14,'Refrigerant properties'!$A$7:$C$19,3,0)*E14),"")</f>
        <v/>
      </c>
      <c r="H14" s="577"/>
      <c r="I14" s="186"/>
      <c r="J14" s="501" t="str" cm="1">
        <f t="array" ref="J14">IFERROR((_xlfn.IFS(I14=$Y$12,"3",I14=$Y$13,"2",I14=$Y$14,"1",I14=$Y$15,"1"))*P14,"")</f>
        <v/>
      </c>
      <c r="K14" s="168"/>
      <c r="L14" s="186"/>
      <c r="M14" s="183" t="str">
        <f>IFERROR(K14/VLOOKUP(L14,'$ Conversion'!$A$9:$B$40,2,0),"")</f>
        <v/>
      </c>
      <c r="N14" s="212"/>
      <c r="O14" s="207" t="str">
        <f>IFERROR(VLOOKUP($B14,'Carbon factors'!$DL$7:$DM$96,2,0),"")</f>
        <v/>
      </c>
      <c r="P14" s="501" t="str">
        <f t="shared" si="1"/>
        <v/>
      </c>
      <c r="Q14" s="501" t="str">
        <f>IFERROR(VLOOKUP(A14,Buildings!$B$9:$D$41,3,0),"")</f>
        <v/>
      </c>
      <c r="R14" s="195" t="str" cm="1">
        <f t="array" ref="R14">IFERROR(_xlfn.IFS(Q14="Y","Scope 1",Q14="N","Scope 3",Q14="Unknown","Manually Select Scope -&gt;"),"")</f>
        <v/>
      </c>
      <c r="S14" s="1236"/>
      <c r="T14" s="867" t="str">
        <f t="shared" si="2"/>
        <v/>
      </c>
      <c r="V14" s="263"/>
      <c r="W14" s="159" t="s">
        <v>822</v>
      </c>
      <c r="X14" s="605" t="s">
        <v>873</v>
      </c>
      <c r="Y14" s="159" t="s">
        <v>817</v>
      </c>
      <c r="Z14" s="524" t="s">
        <v>192</v>
      </c>
    </row>
    <row r="15" spans="1:26" x14ac:dyDescent="0.35">
      <c r="A15" s="898"/>
      <c r="B15" s="579"/>
      <c r="C15" s="864"/>
      <c r="D15" s="864"/>
      <c r="E15" s="988">
        <f t="shared" si="0"/>
        <v>0</v>
      </c>
      <c r="F15" s="579"/>
      <c r="G15" s="179" t="str">
        <f>IFERROR((VLOOKUP(F15,'Refrigerant properties'!$A$7:$C$19,3,0)*E15),"")</f>
        <v/>
      </c>
      <c r="H15" s="577"/>
      <c r="I15" s="186"/>
      <c r="J15" s="501" t="str" cm="1">
        <f t="array" ref="J15">IFERROR((_xlfn.IFS(I15=$Y$12,"3",I15=$Y$13,"2",I15=$Y$14,"1",I15=$Y$15,"1"))*P15,"")</f>
        <v/>
      </c>
      <c r="K15" s="168"/>
      <c r="L15" s="186"/>
      <c r="M15" s="183" t="str">
        <f>IFERROR(K15/VLOOKUP(L15,'$ Conversion'!$A$9:$B$40,2,0),"")</f>
        <v/>
      </c>
      <c r="N15" s="212"/>
      <c r="O15" s="207" t="str">
        <f>IFERROR(VLOOKUP($B15,'Carbon factors'!$DL$7:$DM$96,2,0),"")</f>
        <v/>
      </c>
      <c r="P15" s="501" t="str">
        <f t="shared" si="1"/>
        <v/>
      </c>
      <c r="Q15" s="501" t="str">
        <f>IFERROR(VLOOKUP(A15,Buildings!$B$9:$D$41,3,0),"")</f>
        <v/>
      </c>
      <c r="R15" s="195" t="str" cm="1">
        <f t="array" ref="R15">IFERROR(_xlfn.IFS(Q15="Y","Scope 1",Q15="N","Scope 3",Q15="Unknown","Manually Select Scope -&gt;"),"")</f>
        <v/>
      </c>
      <c r="S15" s="1236"/>
      <c r="T15" s="867" t="str">
        <f t="shared" si="2"/>
        <v/>
      </c>
      <c r="V15" s="261"/>
      <c r="W15" s="159" t="s">
        <v>874</v>
      </c>
      <c r="X15" s="605" t="s">
        <v>875</v>
      </c>
      <c r="Y15" s="159" t="s">
        <v>876</v>
      </c>
      <c r="Z15" s="262" t="s">
        <v>591</v>
      </c>
    </row>
    <row r="16" spans="1:26" x14ac:dyDescent="0.35">
      <c r="A16" s="898"/>
      <c r="B16" s="579"/>
      <c r="C16" s="864"/>
      <c r="D16" s="864"/>
      <c r="E16" s="988">
        <f t="shared" si="0"/>
        <v>0</v>
      </c>
      <c r="F16" s="579"/>
      <c r="G16" s="179" t="str">
        <f>IFERROR((VLOOKUP(F16,'Refrigerant properties'!$A$7:$C$19,3,0)*E16),"")</f>
        <v/>
      </c>
      <c r="H16" s="577"/>
      <c r="I16" s="186"/>
      <c r="J16" s="501" t="str" cm="1">
        <f t="array" ref="J16">IFERROR((_xlfn.IFS(I16=$Y$12,"3",I16=$Y$13,"2",I16=$Y$14,"1",I16=$Y$15,"1"))*P16,"")</f>
        <v/>
      </c>
      <c r="K16" s="168"/>
      <c r="L16" s="186"/>
      <c r="M16" s="183" t="str">
        <f>IFERROR(K16/VLOOKUP(L16,'$ Conversion'!$A$9:$B$40,2,0),"")</f>
        <v/>
      </c>
      <c r="N16" s="212"/>
      <c r="O16" s="207" t="str">
        <f>IFERROR(VLOOKUP($B16,'Carbon factors'!$DL$7:$DM$96,2,0),"")</f>
        <v/>
      </c>
      <c r="P16" s="501" t="str">
        <f t="shared" si="1"/>
        <v/>
      </c>
      <c r="Q16" s="501" t="str">
        <f>IFERROR(VLOOKUP(A16,Buildings!$B$9:$D$41,3,0),"")</f>
        <v/>
      </c>
      <c r="R16" s="195" t="str" cm="1">
        <f t="array" ref="R16">IFERROR(_xlfn.IFS(Q16="Y","Scope 1",Q16="N","Scope 3",Q16="Unknown","Manually Select Scope -&gt;"),"")</f>
        <v/>
      </c>
      <c r="S16" s="1236"/>
      <c r="T16" s="867" t="str">
        <f t="shared" si="2"/>
        <v/>
      </c>
      <c r="V16" s="261"/>
      <c r="W16" s="159" t="s">
        <v>877</v>
      </c>
      <c r="X16" s="605" t="s">
        <v>878</v>
      </c>
      <c r="Y16" s="159"/>
      <c r="Z16" s="262"/>
    </row>
    <row r="17" spans="1:26" x14ac:dyDescent="0.35">
      <c r="A17" s="898"/>
      <c r="B17" s="579"/>
      <c r="C17" s="864"/>
      <c r="D17" s="864"/>
      <c r="E17" s="988">
        <f t="shared" si="0"/>
        <v>0</v>
      </c>
      <c r="F17" s="579"/>
      <c r="G17" s="179" t="str">
        <f>IFERROR((VLOOKUP(F17,'Refrigerant properties'!$A$7:$C$19,3,0)*E17),"")</f>
        <v/>
      </c>
      <c r="H17" s="577"/>
      <c r="I17" s="186"/>
      <c r="J17" s="501" t="str" cm="1">
        <f t="array" ref="J17">IFERROR((_xlfn.IFS(I17=$Y$12,"3",I17=$Y$13,"2",I17=$Y$14,"1",I17=$Y$15,"1"))*P17,"")</f>
        <v/>
      </c>
      <c r="K17" s="168"/>
      <c r="L17" s="186"/>
      <c r="M17" s="183" t="str">
        <f>IFERROR(K17/VLOOKUP(L17,'$ Conversion'!$A$9:$B$40,2,0),"")</f>
        <v/>
      </c>
      <c r="N17" s="212"/>
      <c r="O17" s="207" t="str">
        <f>IFERROR(VLOOKUP($B17,'Carbon factors'!$DL$7:$DM$96,2,0),"")</f>
        <v/>
      </c>
      <c r="P17" s="501" t="str">
        <f t="shared" si="1"/>
        <v/>
      </c>
      <c r="Q17" s="501" t="str">
        <f>IFERROR(VLOOKUP(A17,Buildings!$B$9:$D$41,3,0),"")</f>
        <v/>
      </c>
      <c r="R17" s="195" t="str" cm="1">
        <f t="array" ref="R17">IFERROR(_xlfn.IFS(Q17="Y","Scope 1",Q17="N","Scope 3",Q17="Unknown","Manually Select Scope -&gt;"),"")</f>
        <v/>
      </c>
      <c r="S17" s="1236"/>
      <c r="T17" s="867" t="str">
        <f t="shared" si="2"/>
        <v/>
      </c>
      <c r="V17" s="261"/>
      <c r="W17" s="159" t="s">
        <v>879</v>
      </c>
      <c r="X17" s="605" t="s">
        <v>880</v>
      </c>
      <c r="Y17" s="159"/>
      <c r="Z17" s="262"/>
    </row>
    <row r="18" spans="1:26" x14ac:dyDescent="0.35">
      <c r="A18" s="898"/>
      <c r="B18" s="579"/>
      <c r="C18" s="864"/>
      <c r="D18" s="864"/>
      <c r="E18" s="988">
        <f t="shared" si="0"/>
        <v>0</v>
      </c>
      <c r="F18" s="579"/>
      <c r="G18" s="179" t="str">
        <f>IFERROR((VLOOKUP(F18,'Refrigerant properties'!$A$7:$C$19,3,0)*E18),"")</f>
        <v/>
      </c>
      <c r="H18" s="577"/>
      <c r="I18" s="186"/>
      <c r="J18" s="501" t="str" cm="1">
        <f t="array" ref="J18">IFERROR((_xlfn.IFS(I18=$Y$12,"3",I18=$Y$13,"2",I18=$Y$14,"1",I18=$Y$15,"1"))*P18,"")</f>
        <v/>
      </c>
      <c r="K18" s="168"/>
      <c r="L18" s="186"/>
      <c r="M18" s="183" t="str">
        <f>IFERROR(K18/VLOOKUP(L18,'$ Conversion'!$A$9:$B$40,2,0),"")</f>
        <v/>
      </c>
      <c r="N18" s="212"/>
      <c r="O18" s="207" t="str">
        <f>IFERROR(VLOOKUP($B18,'Carbon factors'!$DL$7:$DM$96,2,0),"")</f>
        <v/>
      </c>
      <c r="P18" s="501" t="str">
        <f t="shared" si="1"/>
        <v/>
      </c>
      <c r="Q18" s="501" t="str">
        <f>IFERROR(VLOOKUP(A18,Buildings!$B$9:$D$41,3,0),"")</f>
        <v/>
      </c>
      <c r="R18" s="195" t="str" cm="1">
        <f t="array" ref="R18">IFERROR(_xlfn.IFS(Q18="Y","Scope 1",Q18="N","Scope 3",Q18="Unknown","Manually Select Scope -&gt;"),"")</f>
        <v/>
      </c>
      <c r="S18" s="1236"/>
      <c r="T18" s="867" t="str">
        <f t="shared" si="2"/>
        <v/>
      </c>
      <c r="V18" s="261"/>
      <c r="W18" s="159" t="s">
        <v>881</v>
      </c>
      <c r="X18" s="605" t="s">
        <v>882</v>
      </c>
      <c r="Y18" s="159"/>
      <c r="Z18" s="262"/>
    </row>
    <row r="19" spans="1:26" x14ac:dyDescent="0.35">
      <c r="A19" s="898"/>
      <c r="B19" s="579"/>
      <c r="C19" s="864"/>
      <c r="D19" s="864"/>
      <c r="E19" s="988">
        <f t="shared" si="0"/>
        <v>0</v>
      </c>
      <c r="F19" s="579"/>
      <c r="G19" s="179" t="str">
        <f>IFERROR((VLOOKUP(F19,'Refrigerant properties'!$A$7:$C$19,3,0)*E19),"")</f>
        <v/>
      </c>
      <c r="H19" s="577"/>
      <c r="I19" s="186"/>
      <c r="J19" s="501" t="str" cm="1">
        <f t="array" ref="J19">IFERROR((_xlfn.IFS(I19=$Y$12,"3",I19=$Y$13,"2",I19=$Y$14,"1",I19=$Y$15,"1"))*P19,"")</f>
        <v/>
      </c>
      <c r="K19" s="168"/>
      <c r="L19" s="186"/>
      <c r="M19" s="183" t="str">
        <f>IFERROR(K19/VLOOKUP(L19,'$ Conversion'!$A$9:$B$40,2,0),"")</f>
        <v/>
      </c>
      <c r="N19" s="212"/>
      <c r="O19" s="207" t="str">
        <f>IFERROR(VLOOKUP($B19,'Carbon factors'!$DL$7:$DM$96,2,0),"")</f>
        <v/>
      </c>
      <c r="P19" s="501" t="str">
        <f t="shared" si="1"/>
        <v/>
      </c>
      <c r="Q19" s="501" t="str">
        <f>IFERROR(VLOOKUP(A19,Buildings!$B$9:$D$41,3,0),"")</f>
        <v/>
      </c>
      <c r="R19" s="195" t="str" cm="1">
        <f t="array" ref="R19">IFERROR(_xlfn.IFS(Q19="Y","Scope 1",Q19="N","Scope 3",Q19="Unknown","Manually Select Scope -&gt;"),"")</f>
        <v/>
      </c>
      <c r="S19" s="1236"/>
      <c r="T19" s="867" t="str">
        <f t="shared" si="2"/>
        <v/>
      </c>
      <c r="V19" s="261"/>
      <c r="W19" s="159" t="s">
        <v>883</v>
      </c>
      <c r="X19" s="605" t="s">
        <v>884</v>
      </c>
      <c r="Y19" s="159"/>
      <c r="Z19" s="262"/>
    </row>
    <row r="20" spans="1:26" x14ac:dyDescent="0.35">
      <c r="A20" s="898"/>
      <c r="B20" s="579"/>
      <c r="C20" s="864"/>
      <c r="D20" s="864"/>
      <c r="E20" s="988">
        <f t="shared" si="0"/>
        <v>0</v>
      </c>
      <c r="F20" s="579"/>
      <c r="G20" s="179" t="str">
        <f>IFERROR((VLOOKUP(F20,'Refrigerant properties'!$A$7:$C$19,3,0)*E20),"")</f>
        <v/>
      </c>
      <c r="H20" s="577"/>
      <c r="I20" s="186"/>
      <c r="J20" s="501" t="str" cm="1">
        <f t="array" ref="J20">IFERROR((_xlfn.IFS(I20=$Y$12,"3",I20=$Y$13,"2",I20=$Y$14,"1",I20=$Y$15,"1"))*P20,"")</f>
        <v/>
      </c>
      <c r="K20" s="168"/>
      <c r="L20" s="186"/>
      <c r="M20" s="183" t="str">
        <f>IFERROR(K20/VLOOKUP(L20,'$ Conversion'!$A$9:$B$40,2,0),"")</f>
        <v/>
      </c>
      <c r="N20" s="212"/>
      <c r="O20" s="207" t="str">
        <f>IFERROR(VLOOKUP($B20,'Carbon factors'!$DL$7:$DM$96,2,0),"")</f>
        <v/>
      </c>
      <c r="P20" s="501" t="str">
        <f t="shared" si="1"/>
        <v/>
      </c>
      <c r="Q20" s="501" t="str">
        <f>IFERROR(VLOOKUP(A20,Buildings!$B$9:$D$41,3,0),"")</f>
        <v/>
      </c>
      <c r="R20" s="195" t="str" cm="1">
        <f t="array" ref="R20">IFERROR(_xlfn.IFS(Q20="Y","Scope 1",Q20="N","Scope 3",Q20="Unknown","Manually Select Scope -&gt;"),"")</f>
        <v/>
      </c>
      <c r="S20" s="1236"/>
      <c r="T20" s="867" t="str">
        <f t="shared" si="2"/>
        <v/>
      </c>
      <c r="V20" s="261"/>
      <c r="W20" s="159" t="s">
        <v>885</v>
      </c>
      <c r="X20" s="605" t="s">
        <v>886</v>
      </c>
      <c r="Y20" s="159"/>
      <c r="Z20" s="262"/>
    </row>
    <row r="21" spans="1:26" x14ac:dyDescent="0.35">
      <c r="A21" s="898"/>
      <c r="B21" s="579"/>
      <c r="C21" s="864"/>
      <c r="D21" s="864"/>
      <c r="E21" s="988">
        <f t="shared" si="0"/>
        <v>0</v>
      </c>
      <c r="F21" s="579"/>
      <c r="G21" s="179" t="str">
        <f>IFERROR((VLOOKUP(F21,'Refrigerant properties'!$A$7:$C$19,3,0)*E21),"")</f>
        <v/>
      </c>
      <c r="H21" s="577"/>
      <c r="I21" s="186"/>
      <c r="J21" s="501" t="str" cm="1">
        <f t="array" ref="J21">IFERROR((_xlfn.IFS(I21=$Y$12,"3",I21=$Y$13,"2",I21=$Y$14,"1",I21=$Y$15,"1"))*P21,"")</f>
        <v/>
      </c>
      <c r="K21" s="168"/>
      <c r="L21" s="186"/>
      <c r="M21" s="183" t="str">
        <f>IFERROR(K21/VLOOKUP(L21,'$ Conversion'!$A$9:$B$40,2,0),"")</f>
        <v/>
      </c>
      <c r="N21" s="212"/>
      <c r="O21" s="207" t="str">
        <f>IFERROR(VLOOKUP($B21,'Carbon factors'!$DL$7:$DM$96,2,0),"")</f>
        <v/>
      </c>
      <c r="P21" s="501" t="str">
        <f t="shared" si="1"/>
        <v/>
      </c>
      <c r="Q21" s="501" t="str">
        <f>IFERROR(VLOOKUP(A21,Buildings!$B$9:$D$41,3,0),"")</f>
        <v/>
      </c>
      <c r="R21" s="195" t="str" cm="1">
        <f t="array" ref="R21">IFERROR(_xlfn.IFS(Q21="Y","Scope 1",Q21="N","Scope 3",Q21="Unknown","Manually Select Scope -&gt;"),"")</f>
        <v/>
      </c>
      <c r="S21" s="1236"/>
      <c r="T21" s="867" t="str">
        <f t="shared" si="2"/>
        <v/>
      </c>
      <c r="V21" s="261"/>
      <c r="W21" s="159" t="s">
        <v>887</v>
      </c>
      <c r="X21" s="605" t="s">
        <v>888</v>
      </c>
      <c r="Y21" s="159"/>
      <c r="Z21" s="262"/>
    </row>
    <row r="22" spans="1:26" x14ac:dyDescent="0.35">
      <c r="A22" s="898"/>
      <c r="B22" s="579"/>
      <c r="C22" s="864"/>
      <c r="D22" s="864"/>
      <c r="E22" s="988">
        <f t="shared" si="0"/>
        <v>0</v>
      </c>
      <c r="F22" s="579"/>
      <c r="G22" s="179" t="str">
        <f>IFERROR((VLOOKUP(F22,'Refrigerant properties'!$A$7:$C$19,3,0)*E22),"")</f>
        <v/>
      </c>
      <c r="H22" s="577"/>
      <c r="I22" s="186"/>
      <c r="J22" s="501" t="str" cm="1">
        <f t="array" ref="J22">IFERROR((_xlfn.IFS(I22=$Y$12,"3",I22=$Y$13,"2",I22=$Y$14,"1",I22=$Y$15,"1"))*P22,"")</f>
        <v/>
      </c>
      <c r="K22" s="168"/>
      <c r="L22" s="186"/>
      <c r="M22" s="183" t="str">
        <f>IFERROR(K22/VLOOKUP(L22,'$ Conversion'!$A$9:$B$40,2,0),"")</f>
        <v/>
      </c>
      <c r="N22" s="212"/>
      <c r="O22" s="207" t="str">
        <f>IFERROR(VLOOKUP($B22,'Carbon factors'!$DL$7:$DM$96,2,0),"")</f>
        <v/>
      </c>
      <c r="P22" s="501" t="str">
        <f t="shared" si="1"/>
        <v/>
      </c>
      <c r="Q22" s="501" t="str">
        <f>IFERROR(VLOOKUP(A22,Buildings!$B$9:$D$41,3,0),"")</f>
        <v/>
      </c>
      <c r="R22" s="195" t="str" cm="1">
        <f t="array" ref="R22">IFERROR(_xlfn.IFS(Q22="Y","Scope 1",Q22="N","Scope 3",Q22="Unknown","Manually Select Scope -&gt;"),"")</f>
        <v/>
      </c>
      <c r="S22" s="1236"/>
      <c r="T22" s="867" t="str">
        <f t="shared" si="2"/>
        <v/>
      </c>
      <c r="V22" s="261"/>
      <c r="W22" s="159" t="s">
        <v>889</v>
      </c>
      <c r="X22" s="605" t="s">
        <v>890</v>
      </c>
      <c r="Y22" s="159"/>
      <c r="Z22" s="262"/>
    </row>
    <row r="23" spans="1:26" x14ac:dyDescent="0.35">
      <c r="A23" s="898"/>
      <c r="B23" s="579"/>
      <c r="C23" s="864"/>
      <c r="D23" s="864"/>
      <c r="E23" s="988">
        <f t="shared" si="0"/>
        <v>0</v>
      </c>
      <c r="F23" s="579"/>
      <c r="G23" s="179" t="str">
        <f>IFERROR((VLOOKUP(F23,'Refrigerant properties'!$A$7:$C$19,3,0)*E23),"")</f>
        <v/>
      </c>
      <c r="H23" s="577"/>
      <c r="I23" s="186"/>
      <c r="J23" s="501" t="str" cm="1">
        <f t="array" ref="J23">IFERROR((_xlfn.IFS(I23=$Y$12,"3",I23=$Y$13,"2",I23=$Y$14,"1",I23=$Y$15,"1"))*P23,"")</f>
        <v/>
      </c>
      <c r="K23" s="168"/>
      <c r="L23" s="186"/>
      <c r="M23" s="183" t="str">
        <f>IFERROR(K23/VLOOKUP(L23,'$ Conversion'!$A$9:$B$40,2,0),"")</f>
        <v/>
      </c>
      <c r="N23" s="212"/>
      <c r="O23" s="207" t="str">
        <f>IFERROR(VLOOKUP($B23,'Carbon factors'!$DL$7:$DM$96,2,0),"")</f>
        <v/>
      </c>
      <c r="P23" s="501" t="str">
        <f t="shared" si="1"/>
        <v/>
      </c>
      <c r="Q23" s="501" t="str">
        <f>IFERROR(VLOOKUP(A23,Buildings!$B$9:$D$41,3,0),"")</f>
        <v/>
      </c>
      <c r="R23" s="195" t="str" cm="1">
        <f t="array" ref="R23">IFERROR(_xlfn.IFS(Q23="Y","Scope 1",Q23="N","Scope 3",Q23="Unknown","Manually Select Scope -&gt;"),"")</f>
        <v/>
      </c>
      <c r="S23" s="1236"/>
      <c r="T23" s="867" t="str">
        <f t="shared" si="2"/>
        <v/>
      </c>
      <c r="V23" s="261"/>
      <c r="W23" s="159" t="s">
        <v>891</v>
      </c>
      <c r="X23" s="605" t="s">
        <v>892</v>
      </c>
      <c r="Y23" s="159"/>
      <c r="Z23" s="262"/>
    </row>
    <row r="24" spans="1:26" x14ac:dyDescent="0.35">
      <c r="A24" s="898"/>
      <c r="B24" s="579"/>
      <c r="C24" s="864"/>
      <c r="D24" s="864"/>
      <c r="E24" s="988">
        <f t="shared" si="0"/>
        <v>0</v>
      </c>
      <c r="F24" s="579"/>
      <c r="G24" s="179" t="str">
        <f>IFERROR((VLOOKUP(F24,'Refrigerant properties'!$A$7:$C$19,3,0)*E24),"")</f>
        <v/>
      </c>
      <c r="H24" s="577"/>
      <c r="I24" s="186"/>
      <c r="J24" s="501" t="str" cm="1">
        <f t="array" ref="J24">IFERROR((_xlfn.IFS(I24=$Y$12,"3",I24=$Y$13,"2",I24=$Y$14,"1",I24=$Y$15,"1"))*P24,"")</f>
        <v/>
      </c>
      <c r="K24" s="168"/>
      <c r="L24" s="186"/>
      <c r="M24" s="183" t="str">
        <f>IFERROR(K24/VLOOKUP(L24,'$ Conversion'!$A$9:$B$40,2,0),"")</f>
        <v/>
      </c>
      <c r="N24" s="212"/>
      <c r="O24" s="207" t="str">
        <f>IFERROR(VLOOKUP($B24,'Carbon factors'!$DL$7:$DM$96,2,0),"")</f>
        <v/>
      </c>
      <c r="P24" s="501" t="str">
        <f t="shared" si="1"/>
        <v/>
      </c>
      <c r="Q24" s="501" t="str">
        <f>IFERROR(VLOOKUP(A24,Buildings!$B$9:$D$41,3,0),"")</f>
        <v/>
      </c>
      <c r="R24" s="195" t="str" cm="1">
        <f t="array" ref="R24">IFERROR(_xlfn.IFS(Q24="Y","Scope 1",Q24="N","Scope 3",Q24="Unknown","Manually Select Scope -&gt;"),"")</f>
        <v/>
      </c>
      <c r="S24" s="1236"/>
      <c r="T24" s="867" t="str">
        <f t="shared" si="2"/>
        <v/>
      </c>
      <c r="V24" s="261"/>
      <c r="W24" s="159" t="s">
        <v>893</v>
      </c>
      <c r="X24" s="605" t="s">
        <v>894</v>
      </c>
      <c r="Y24" s="159"/>
      <c r="Z24" s="262"/>
    </row>
    <row r="25" spans="1:26" x14ac:dyDescent="0.35">
      <c r="A25" s="898"/>
      <c r="B25" s="579"/>
      <c r="C25" s="864"/>
      <c r="D25" s="864"/>
      <c r="E25" s="988">
        <f t="shared" si="0"/>
        <v>0</v>
      </c>
      <c r="F25" s="579"/>
      <c r="G25" s="179" t="str">
        <f>IFERROR((VLOOKUP(F25,'Refrigerant properties'!$A$7:$C$19,3,0)*E25),"")</f>
        <v/>
      </c>
      <c r="H25" s="577"/>
      <c r="I25" s="186"/>
      <c r="J25" s="501" t="str" cm="1">
        <f t="array" ref="J25">IFERROR((_xlfn.IFS(I25=$Y$12,"3",I25=$Y$13,"2",I25=$Y$14,"1",I25=$Y$15,"1"))*P25,"")</f>
        <v/>
      </c>
      <c r="K25" s="168"/>
      <c r="L25" s="186"/>
      <c r="M25" s="183" t="str">
        <f>IFERROR(K25/VLOOKUP(L25,'$ Conversion'!$A$9:$B$40,2,0),"")</f>
        <v/>
      </c>
      <c r="N25" s="212"/>
      <c r="O25" s="207" t="str">
        <f>IFERROR(VLOOKUP($B25,'Carbon factors'!$DL$7:$DM$96,2,0),"")</f>
        <v/>
      </c>
      <c r="P25" s="501" t="str">
        <f t="shared" si="1"/>
        <v/>
      </c>
      <c r="Q25" s="501" t="str">
        <f>IFERROR(VLOOKUP(A25,Buildings!$B$9:$D$41,3,0),"")</f>
        <v/>
      </c>
      <c r="R25" s="195" t="str" cm="1">
        <f t="array" ref="R25">IFERROR(_xlfn.IFS(Q25="Y","Scope 1",Q25="N","Scope 3",Q25="Unknown","Manually Select Scope -&gt;"),"")</f>
        <v/>
      </c>
      <c r="S25" s="1236"/>
      <c r="T25" s="867" t="str">
        <f t="shared" si="2"/>
        <v/>
      </c>
      <c r="V25" s="261"/>
      <c r="W25" s="159" t="s">
        <v>895</v>
      </c>
      <c r="X25" s="159"/>
      <c r="Y25" s="159"/>
      <c r="Z25" s="262"/>
    </row>
    <row r="26" spans="1:26" x14ac:dyDescent="0.35">
      <c r="A26" s="898"/>
      <c r="B26" s="579"/>
      <c r="C26" s="864"/>
      <c r="D26" s="864"/>
      <c r="E26" s="988">
        <f t="shared" si="0"/>
        <v>0</v>
      </c>
      <c r="F26" s="579"/>
      <c r="G26" s="179" t="str">
        <f>IFERROR((VLOOKUP(F26,'Refrigerant properties'!$A$7:$C$19,3,0)*E26),"")</f>
        <v/>
      </c>
      <c r="H26" s="577"/>
      <c r="I26" s="186"/>
      <c r="J26" s="501" t="str" cm="1">
        <f t="array" ref="J26">IFERROR((_xlfn.IFS(I26=$Y$12,"3",I26=$Y$13,"2",I26=$Y$14,"1",I26=$Y$15,"1"))*P26,"")</f>
        <v/>
      </c>
      <c r="K26" s="168"/>
      <c r="L26" s="186"/>
      <c r="M26" s="183" t="str">
        <f>IFERROR(K26/VLOOKUP(L26,'$ Conversion'!$A$9:$B$40,2,0),"")</f>
        <v/>
      </c>
      <c r="N26" s="212"/>
      <c r="O26" s="207" t="str">
        <f>IFERROR(VLOOKUP($B26,'Carbon factors'!$DL$7:$DM$96,2,0),"")</f>
        <v/>
      </c>
      <c r="P26" s="501" t="str">
        <f t="shared" si="1"/>
        <v/>
      </c>
      <c r="Q26" s="501" t="str">
        <f>IFERROR(VLOOKUP(A26,Buildings!$B$9:$D$41,3,0),"")</f>
        <v/>
      </c>
      <c r="R26" s="195" t="str" cm="1">
        <f t="array" ref="R26">IFERROR(_xlfn.IFS(Q26="Y","Scope 1",Q26="N","Scope 3",Q26="Unknown","Manually Select Scope -&gt;"),"")</f>
        <v/>
      </c>
      <c r="S26" s="1236"/>
      <c r="T26" s="867" t="str">
        <f t="shared" si="2"/>
        <v/>
      </c>
      <c r="V26" s="261"/>
      <c r="W26" s="159" t="s">
        <v>896</v>
      </c>
      <c r="X26" s="159"/>
      <c r="Y26" s="159"/>
      <c r="Z26" s="262"/>
    </row>
    <row r="27" spans="1:26" x14ac:dyDescent="0.35">
      <c r="A27" s="898"/>
      <c r="B27" s="579"/>
      <c r="C27" s="864"/>
      <c r="D27" s="864"/>
      <c r="E27" s="988">
        <f t="shared" si="0"/>
        <v>0</v>
      </c>
      <c r="F27" s="579"/>
      <c r="G27" s="179" t="str">
        <f>IFERROR((VLOOKUP(F27,'Refrigerant properties'!$A$7:$C$19,3,0)*E27),"")</f>
        <v/>
      </c>
      <c r="H27" s="577"/>
      <c r="I27" s="186"/>
      <c r="J27" s="501" t="str" cm="1">
        <f t="array" ref="J27">IFERROR((_xlfn.IFS(I27=$Y$12,"3",I27=$Y$13,"2",I27=$Y$14,"1",I27=$Y$15,"1"))*P27,"")</f>
        <v/>
      </c>
      <c r="K27" s="168"/>
      <c r="L27" s="186"/>
      <c r="M27" s="183" t="str">
        <f>IFERROR(K27/VLOOKUP(L27,'$ Conversion'!$A$9:$B$40,2,0),"")</f>
        <v/>
      </c>
      <c r="N27" s="212"/>
      <c r="O27" s="207" t="str">
        <f>IFERROR(VLOOKUP($B27,'Carbon factors'!$DL$7:$DM$96,2,0),"")</f>
        <v/>
      </c>
      <c r="P27" s="501" t="str">
        <f t="shared" si="1"/>
        <v/>
      </c>
      <c r="Q27" s="501" t="str">
        <f>IFERROR(VLOOKUP(A27,Buildings!$B$9:$D$41,3,0),"")</f>
        <v/>
      </c>
      <c r="R27" s="195" t="str" cm="1">
        <f t="array" ref="R27">IFERROR(_xlfn.IFS(Q27="Y","Scope 1",Q27="N","Scope 3",Q27="Unknown","Manually Select Scope -&gt;"),"")</f>
        <v/>
      </c>
      <c r="S27" s="1236"/>
      <c r="T27" s="867" t="str">
        <f t="shared" si="2"/>
        <v/>
      </c>
      <c r="V27" s="261"/>
      <c r="W27" s="159" t="s">
        <v>897</v>
      </c>
      <c r="X27" s="159"/>
      <c r="Y27" s="159"/>
      <c r="Z27" s="262"/>
    </row>
    <row r="28" spans="1:26" x14ac:dyDescent="0.35">
      <c r="A28" s="898"/>
      <c r="B28" s="579"/>
      <c r="C28" s="864"/>
      <c r="D28" s="864"/>
      <c r="E28" s="988">
        <f t="shared" si="0"/>
        <v>0</v>
      </c>
      <c r="F28" s="579"/>
      <c r="G28" s="179" t="str">
        <f>IFERROR((VLOOKUP(F28,'Refrigerant properties'!$A$7:$C$19,3,0)*E28),"")</f>
        <v/>
      </c>
      <c r="H28" s="577"/>
      <c r="I28" s="186"/>
      <c r="J28" s="501" t="str" cm="1">
        <f t="array" ref="J28">IFERROR((_xlfn.IFS(I28=$Y$12,"3",I28=$Y$13,"2",I28=$Y$14,"1",I28=$Y$15,"1"))*P28,"")</f>
        <v/>
      </c>
      <c r="K28" s="168"/>
      <c r="L28" s="186"/>
      <c r="M28" s="183" t="str">
        <f>IFERROR(K28/VLOOKUP(L28,'$ Conversion'!$A$9:$B$40,2,0),"")</f>
        <v/>
      </c>
      <c r="N28" s="212"/>
      <c r="O28" s="207" t="str">
        <f>IFERROR(VLOOKUP($B28,'Carbon factors'!$DL$7:$DM$96,2,0),"")</f>
        <v/>
      </c>
      <c r="P28" s="501" t="str">
        <f t="shared" si="1"/>
        <v/>
      </c>
      <c r="Q28" s="501" t="str">
        <f>IFERROR(VLOOKUP(A28,Buildings!$B$9:$D$41,3,0),"")</f>
        <v/>
      </c>
      <c r="R28" s="195" t="str" cm="1">
        <f t="array" ref="R28">IFERROR(_xlfn.IFS(Q28="Y","Scope 1",Q28="N","Scope 3",Q28="Unknown","Manually Select Scope -&gt;"),"")</f>
        <v/>
      </c>
      <c r="S28" s="1236"/>
      <c r="T28" s="867" t="str">
        <f t="shared" si="2"/>
        <v/>
      </c>
      <c r="V28" s="261"/>
      <c r="W28" s="159" t="s">
        <v>898</v>
      </c>
      <c r="X28" s="159"/>
      <c r="Y28" s="159"/>
      <c r="Z28" s="262"/>
    </row>
    <row r="29" spans="1:26" x14ac:dyDescent="0.35">
      <c r="A29" s="898"/>
      <c r="B29" s="579"/>
      <c r="C29" s="864"/>
      <c r="D29" s="864"/>
      <c r="E29" s="988">
        <f t="shared" si="0"/>
        <v>0</v>
      </c>
      <c r="F29" s="579"/>
      <c r="G29" s="179" t="str">
        <f>IFERROR((VLOOKUP(F29,'Refrigerant properties'!$A$7:$C$19,3,0)*E29),"")</f>
        <v/>
      </c>
      <c r="H29" s="577"/>
      <c r="I29" s="186"/>
      <c r="J29" s="501" t="str" cm="1">
        <f t="array" ref="J29">IFERROR((_xlfn.IFS(I29=$Y$12,"3",I29=$Y$13,"2",I29=$Y$14,"1",I29=$Y$15,"1"))*P29,"")</f>
        <v/>
      </c>
      <c r="K29" s="168"/>
      <c r="L29" s="186"/>
      <c r="M29" s="183" t="str">
        <f>IFERROR(K29/VLOOKUP(L29,'$ Conversion'!$A$9:$B$40,2,0),"")</f>
        <v/>
      </c>
      <c r="N29" s="212"/>
      <c r="O29" s="207" t="str">
        <f>IFERROR(VLOOKUP($B29,'Carbon factors'!$DL$7:$DM$96,2,0),"")</f>
        <v/>
      </c>
      <c r="P29" s="501" t="str">
        <f t="shared" si="1"/>
        <v/>
      </c>
      <c r="Q29" s="501" t="str">
        <f>IFERROR(VLOOKUP(A29,Buildings!$B$9:$D$41,3,0),"")</f>
        <v/>
      </c>
      <c r="R29" s="195" t="str" cm="1">
        <f t="array" ref="R29">IFERROR(_xlfn.IFS(Q29="Y","Scope 1",Q29="N","Scope 3",Q29="Unknown","Manually Select Scope -&gt;"),"")</f>
        <v/>
      </c>
      <c r="S29" s="1236"/>
      <c r="T29" s="867" t="str">
        <f t="shared" si="2"/>
        <v/>
      </c>
      <c r="V29" s="261"/>
      <c r="W29" s="159" t="s">
        <v>899</v>
      </c>
      <c r="X29" s="159"/>
      <c r="Y29" s="159"/>
      <c r="Z29" s="262"/>
    </row>
    <row r="30" spans="1:26" x14ac:dyDescent="0.35">
      <c r="A30" s="898"/>
      <c r="B30" s="579"/>
      <c r="C30" s="864"/>
      <c r="D30" s="864"/>
      <c r="E30" s="988">
        <f t="shared" si="0"/>
        <v>0</v>
      </c>
      <c r="F30" s="579"/>
      <c r="G30" s="179" t="str">
        <f>IFERROR((VLOOKUP(F30,'Refrigerant properties'!$A$7:$C$19,3,0)*E30),"")</f>
        <v/>
      </c>
      <c r="H30" s="577"/>
      <c r="I30" s="186"/>
      <c r="J30" s="501" t="str" cm="1">
        <f t="array" ref="J30">IFERROR((_xlfn.IFS(I30=$Y$12,"3",I30=$Y$13,"2",I30=$Y$14,"1",I30=$Y$15,"1"))*P30,"")</f>
        <v/>
      </c>
      <c r="K30" s="168"/>
      <c r="L30" s="186"/>
      <c r="M30" s="183" t="str">
        <f>IFERROR(K30/VLOOKUP(L30,'$ Conversion'!$A$9:$B$40,2,0),"")</f>
        <v/>
      </c>
      <c r="N30" s="212"/>
      <c r="O30" s="207" t="str">
        <f>IFERROR(VLOOKUP($B30,'Carbon factors'!$DL$7:$DM$96,2,0),"")</f>
        <v/>
      </c>
      <c r="P30" s="501" t="str">
        <f t="shared" si="1"/>
        <v/>
      </c>
      <c r="Q30" s="501" t="str">
        <f>IFERROR(VLOOKUP(A30,Buildings!$B$9:$D$41,3,0),"")</f>
        <v/>
      </c>
      <c r="R30" s="195" t="str" cm="1">
        <f t="array" ref="R30">IFERROR(_xlfn.IFS(Q30="Y","Scope 1",Q30="N","Scope 3",Q30="Unknown","Manually Select Scope -&gt;"),"")</f>
        <v/>
      </c>
      <c r="S30" s="1236"/>
      <c r="T30" s="867" t="str">
        <f t="shared" si="2"/>
        <v/>
      </c>
      <c r="V30" s="261"/>
      <c r="W30" s="159" t="s">
        <v>900</v>
      </c>
      <c r="X30" s="159"/>
      <c r="Y30" s="159"/>
      <c r="Z30" s="262"/>
    </row>
    <row r="31" spans="1:26" x14ac:dyDescent="0.35">
      <c r="A31" s="898"/>
      <c r="B31" s="579"/>
      <c r="C31" s="864"/>
      <c r="D31" s="864"/>
      <c r="E31" s="988">
        <f t="shared" si="0"/>
        <v>0</v>
      </c>
      <c r="F31" s="579"/>
      <c r="G31" s="179" t="str">
        <f>IFERROR((VLOOKUP(F31,'Refrigerant properties'!$A$7:$C$19,3,0)*E31),"")</f>
        <v/>
      </c>
      <c r="H31" s="577"/>
      <c r="I31" s="186"/>
      <c r="J31" s="501" t="str" cm="1">
        <f t="array" ref="J31">IFERROR((_xlfn.IFS(I31=$Y$12,"3",I31=$Y$13,"2",I31=$Y$14,"1",I31=$Y$15,"1"))*P31,"")</f>
        <v/>
      </c>
      <c r="K31" s="168"/>
      <c r="L31" s="186"/>
      <c r="M31" s="183" t="str">
        <f>IFERROR(K31/VLOOKUP(L31,'$ Conversion'!$A$9:$B$40,2,0),"")</f>
        <v/>
      </c>
      <c r="N31" s="212"/>
      <c r="O31" s="207" t="str">
        <f>IFERROR(VLOOKUP($B31,'Carbon factors'!$DL$7:$DM$96,2,0),"")</f>
        <v/>
      </c>
      <c r="P31" s="501" t="str">
        <f t="shared" si="1"/>
        <v/>
      </c>
      <c r="Q31" s="501" t="str">
        <f>IFERROR(VLOOKUP(A31,Buildings!$B$9:$D$41,3,0),"")</f>
        <v/>
      </c>
      <c r="R31" s="195" t="str" cm="1">
        <f t="array" ref="R31">IFERROR(_xlfn.IFS(Q31="Y","Scope 1",Q31="N","Scope 3",Q31="Unknown","Manually Select Scope -&gt;"),"")</f>
        <v/>
      </c>
      <c r="S31" s="1236"/>
      <c r="T31" s="867" t="str">
        <f t="shared" si="2"/>
        <v/>
      </c>
      <c r="V31" s="261"/>
      <c r="W31" s="159" t="s">
        <v>901</v>
      </c>
      <c r="X31" s="159"/>
      <c r="Y31" s="159"/>
      <c r="Z31" s="262"/>
    </row>
    <row r="32" spans="1:26" x14ac:dyDescent="0.35">
      <c r="A32" s="898"/>
      <c r="B32" s="579"/>
      <c r="C32" s="864"/>
      <c r="D32" s="864"/>
      <c r="E32" s="988">
        <f t="shared" si="0"/>
        <v>0</v>
      </c>
      <c r="F32" s="579"/>
      <c r="G32" s="179" t="str">
        <f>IFERROR((VLOOKUP(F32,'Refrigerant properties'!$A$7:$C$19,3,0)*E32),"")</f>
        <v/>
      </c>
      <c r="H32" s="577"/>
      <c r="I32" s="186"/>
      <c r="J32" s="501" t="str" cm="1">
        <f t="array" ref="J32">IFERROR((_xlfn.IFS(I32=$Y$12,"3",I32=$Y$13,"2",I32=$Y$14,"1",I32=$Y$15,"1"))*P32,"")</f>
        <v/>
      </c>
      <c r="K32" s="168"/>
      <c r="L32" s="186"/>
      <c r="M32" s="183" t="str">
        <f>IFERROR(K32/VLOOKUP(L32,'$ Conversion'!$A$9:$B$40,2,0),"")</f>
        <v/>
      </c>
      <c r="N32" s="212"/>
      <c r="O32" s="207" t="str">
        <f>IFERROR(VLOOKUP($B32,'Carbon factors'!$DL$7:$DM$96,2,0),"")</f>
        <v/>
      </c>
      <c r="P32" s="501" t="str">
        <f t="shared" si="1"/>
        <v/>
      </c>
      <c r="Q32" s="501" t="str">
        <f>IFERROR(VLOOKUP(A32,Buildings!$B$9:$D$41,3,0),"")</f>
        <v/>
      </c>
      <c r="R32" s="195" t="str" cm="1">
        <f t="array" ref="R32">IFERROR(_xlfn.IFS(Q32="Y","Scope 1",Q32="N","Scope 3",Q32="Unknown","Manually Select Scope -&gt;"),"")</f>
        <v/>
      </c>
      <c r="S32" s="1236"/>
      <c r="T32" s="867" t="str">
        <f t="shared" si="2"/>
        <v/>
      </c>
      <c r="V32" s="261"/>
      <c r="W32" s="159" t="s">
        <v>902</v>
      </c>
      <c r="X32" s="159"/>
      <c r="Y32" s="159"/>
      <c r="Z32" s="262"/>
    </row>
    <row r="33" spans="1:26" x14ac:dyDescent="0.35">
      <c r="A33" s="898"/>
      <c r="B33" s="579"/>
      <c r="C33" s="864"/>
      <c r="D33" s="864"/>
      <c r="E33" s="988">
        <f t="shared" si="0"/>
        <v>0</v>
      </c>
      <c r="F33" s="579"/>
      <c r="G33" s="179" t="str">
        <f>IFERROR((VLOOKUP(F33,'Refrigerant properties'!$A$7:$C$19,3,0)*E33),"")</f>
        <v/>
      </c>
      <c r="H33" s="577"/>
      <c r="I33" s="186"/>
      <c r="J33" s="501" t="str" cm="1">
        <f t="array" ref="J33">IFERROR((_xlfn.IFS(I33=$Y$12,"3",I33=$Y$13,"2",I33=$Y$14,"1",I33=$Y$15,"1"))*P33,"")</f>
        <v/>
      </c>
      <c r="K33" s="168"/>
      <c r="L33" s="186"/>
      <c r="M33" s="183" t="str">
        <f>IFERROR(K33/VLOOKUP(L33,'$ Conversion'!$A$9:$B$40,2,0),"")</f>
        <v/>
      </c>
      <c r="N33" s="212"/>
      <c r="O33" s="207" t="str">
        <f>IFERROR(VLOOKUP($B33,'Carbon factors'!$DL$7:$DM$96,2,0),"")</f>
        <v/>
      </c>
      <c r="P33" s="501" t="str">
        <f t="shared" si="1"/>
        <v/>
      </c>
      <c r="Q33" s="501" t="str">
        <f>IFERROR(VLOOKUP(A33,Buildings!$B$9:$D$41,3,0),"")</f>
        <v/>
      </c>
      <c r="R33" s="195" t="str" cm="1">
        <f t="array" ref="R33">IFERROR(_xlfn.IFS(Q33="Y","Scope 1",Q33="N","Scope 3",Q33="Unknown","Manually Select Scope -&gt;"),"")</f>
        <v/>
      </c>
      <c r="S33" s="1236"/>
      <c r="T33" s="867" t="str">
        <f t="shared" si="2"/>
        <v/>
      </c>
      <c r="V33" s="261"/>
      <c r="W33" s="159" t="s">
        <v>903</v>
      </c>
      <c r="X33" s="159"/>
      <c r="Y33" s="159"/>
      <c r="Z33" s="262"/>
    </row>
    <row r="34" spans="1:26" x14ac:dyDescent="0.35">
      <c r="A34" s="898"/>
      <c r="B34" s="579"/>
      <c r="C34" s="864"/>
      <c r="D34" s="864"/>
      <c r="E34" s="988">
        <f t="shared" si="0"/>
        <v>0</v>
      </c>
      <c r="F34" s="579"/>
      <c r="G34" s="179" t="str">
        <f>IFERROR((VLOOKUP(F34,'Refrigerant properties'!$A$7:$C$19,3,0)*E34),"")</f>
        <v/>
      </c>
      <c r="H34" s="577"/>
      <c r="I34" s="186"/>
      <c r="J34" s="501" t="str" cm="1">
        <f t="array" ref="J34">IFERROR((_xlfn.IFS(I34=$Y$12,"3",I34=$Y$13,"2",I34=$Y$14,"1",I34=$Y$15,"1"))*P34,"")</f>
        <v/>
      </c>
      <c r="K34" s="168"/>
      <c r="L34" s="186"/>
      <c r="M34" s="183" t="str">
        <f>IFERROR(K34/VLOOKUP(L34,'$ Conversion'!$A$9:$B$40,2,0),"")</f>
        <v/>
      </c>
      <c r="N34" s="212"/>
      <c r="O34" s="207" t="str">
        <f>IFERROR(VLOOKUP($B34,'Carbon factors'!$DL$7:$DM$96,2,0),"")</f>
        <v/>
      </c>
      <c r="P34" s="501" t="str">
        <f t="shared" si="1"/>
        <v/>
      </c>
      <c r="Q34" s="501" t="str">
        <f>IFERROR(VLOOKUP(A34,Buildings!$B$9:$D$41,3,0),"")</f>
        <v/>
      </c>
      <c r="R34" s="195" t="str" cm="1">
        <f t="array" ref="R34">IFERROR(_xlfn.IFS(Q34="Y","Scope 1",Q34="N","Scope 3",Q34="Unknown","Manually Select Scope -&gt;"),"")</f>
        <v/>
      </c>
      <c r="S34" s="1236"/>
      <c r="T34" s="867" t="str">
        <f t="shared" si="2"/>
        <v/>
      </c>
      <c r="V34" s="261"/>
      <c r="W34" s="159" t="s">
        <v>904</v>
      </c>
      <c r="X34" s="159"/>
      <c r="Y34" s="159"/>
      <c r="Z34" s="262"/>
    </row>
    <row r="35" spans="1:26" x14ac:dyDescent="0.35">
      <c r="A35" s="898"/>
      <c r="B35" s="579"/>
      <c r="C35" s="864"/>
      <c r="D35" s="864"/>
      <c r="E35" s="988">
        <f t="shared" si="0"/>
        <v>0</v>
      </c>
      <c r="F35" s="579"/>
      <c r="G35" s="179" t="str">
        <f>IFERROR((VLOOKUP(F35,'Refrigerant properties'!$A$7:$C$19,3,0)*E35),"")</f>
        <v/>
      </c>
      <c r="H35" s="577"/>
      <c r="I35" s="186"/>
      <c r="J35" s="501" t="str" cm="1">
        <f t="array" ref="J35">IFERROR((_xlfn.IFS(I35=$Y$12,"3",I35=$Y$13,"2",I35=$Y$14,"1",I35=$Y$15,"1"))*P35,"")</f>
        <v/>
      </c>
      <c r="K35" s="168"/>
      <c r="L35" s="186"/>
      <c r="M35" s="183" t="str">
        <f>IFERROR(K35/VLOOKUP(L35,'$ Conversion'!$A$9:$B$40,2,0),"")</f>
        <v/>
      </c>
      <c r="N35" s="212"/>
      <c r="O35" s="207" t="str">
        <f>IFERROR(VLOOKUP($B35,'Carbon factors'!$DL$7:$DM$96,2,0),"")</f>
        <v/>
      </c>
      <c r="P35" s="501" t="str">
        <f t="shared" si="1"/>
        <v/>
      </c>
      <c r="Q35" s="501" t="str">
        <f>IFERROR(VLOOKUP(A35,Buildings!$B$9:$D$41,3,0),"")</f>
        <v/>
      </c>
      <c r="R35" s="195" t="str" cm="1">
        <f t="array" ref="R35">IFERROR(_xlfn.IFS(Q35="Y","Scope 1",Q35="N","Scope 3",Q35="Unknown","Manually Select Scope -&gt;"),"")</f>
        <v/>
      </c>
      <c r="S35" s="1236"/>
      <c r="T35" s="867" t="str">
        <f t="shared" si="2"/>
        <v/>
      </c>
      <c r="V35" s="261"/>
      <c r="W35" s="159" t="s">
        <v>905</v>
      </c>
      <c r="X35" s="159"/>
      <c r="Y35" s="159"/>
      <c r="Z35" s="262"/>
    </row>
    <row r="36" spans="1:26" x14ac:dyDescent="0.35">
      <c r="A36" s="898"/>
      <c r="B36" s="579"/>
      <c r="C36" s="864"/>
      <c r="D36" s="864"/>
      <c r="E36" s="988">
        <f t="shared" si="0"/>
        <v>0</v>
      </c>
      <c r="F36" s="579"/>
      <c r="G36" s="179" t="str">
        <f>IFERROR((VLOOKUP(F36,'Refrigerant properties'!$A$7:$C$19,3,0)*E36),"")</f>
        <v/>
      </c>
      <c r="H36" s="577"/>
      <c r="I36" s="186"/>
      <c r="J36" s="501" t="str" cm="1">
        <f t="array" ref="J36">IFERROR((_xlfn.IFS(I36=$Y$12,"3",I36=$Y$13,"2",I36=$Y$14,"1",I36=$Y$15,"1"))*P36,"")</f>
        <v/>
      </c>
      <c r="K36" s="168"/>
      <c r="L36" s="186"/>
      <c r="M36" s="183" t="str">
        <f>IFERROR(K36/VLOOKUP(L36,'$ Conversion'!$A$9:$B$40,2,0),"")</f>
        <v/>
      </c>
      <c r="N36" s="212"/>
      <c r="O36" s="207" t="str">
        <f>IFERROR(VLOOKUP($B36,'Carbon factors'!$DL$7:$DM$96,2,0),"")</f>
        <v/>
      </c>
      <c r="P36" s="501" t="str">
        <f t="shared" si="1"/>
        <v/>
      </c>
      <c r="Q36" s="501" t="str">
        <f>IFERROR(VLOOKUP(A36,Buildings!$B$9:$D$41,3,0),"")</f>
        <v/>
      </c>
      <c r="R36" s="195" t="str" cm="1">
        <f t="array" ref="R36">IFERROR(_xlfn.IFS(Q36="Y","Scope 1",Q36="N","Scope 3",Q36="Unknown","Manually Select Scope -&gt;"),"")</f>
        <v/>
      </c>
      <c r="S36" s="1236"/>
      <c r="T36" s="867" t="str">
        <f t="shared" si="2"/>
        <v/>
      </c>
      <c r="V36" s="261"/>
      <c r="W36" s="159" t="s">
        <v>906</v>
      </c>
      <c r="X36" s="159"/>
      <c r="Y36" s="159"/>
      <c r="Z36" s="262"/>
    </row>
    <row r="37" spans="1:26" x14ac:dyDescent="0.35">
      <c r="A37" s="898"/>
      <c r="B37" s="579"/>
      <c r="C37" s="864"/>
      <c r="D37" s="864"/>
      <c r="E37" s="988">
        <f t="shared" si="0"/>
        <v>0</v>
      </c>
      <c r="F37" s="579"/>
      <c r="G37" s="179" t="str">
        <f>IFERROR((VLOOKUP(F37,'Refrigerant properties'!$A$7:$C$19,3,0)*E37),"")</f>
        <v/>
      </c>
      <c r="H37" s="577"/>
      <c r="I37" s="186"/>
      <c r="J37" s="501" t="str" cm="1">
        <f t="array" ref="J37">IFERROR((_xlfn.IFS(I37=$Y$12,"3",I37=$Y$13,"2",I37=$Y$14,"1",I37=$Y$15,"1"))*P37,"")</f>
        <v/>
      </c>
      <c r="K37" s="168"/>
      <c r="L37" s="186"/>
      <c r="M37" s="183" t="str">
        <f>IFERROR(K37/VLOOKUP(L37,'$ Conversion'!$A$9:$B$40,2,0),"")</f>
        <v/>
      </c>
      <c r="N37" s="212"/>
      <c r="O37" s="207" t="str">
        <f>IFERROR(VLOOKUP($B37,'Carbon factors'!$DL$7:$DM$96,2,0),"")</f>
        <v/>
      </c>
      <c r="P37" s="501" t="str">
        <f t="shared" si="1"/>
        <v/>
      </c>
      <c r="Q37" s="501" t="str">
        <f>IFERROR(VLOOKUP(A37,Buildings!$B$9:$D$41,3,0),"")</f>
        <v/>
      </c>
      <c r="R37" s="195" t="str" cm="1">
        <f t="array" ref="R37">IFERROR(_xlfn.IFS(Q37="Y","Scope 1",Q37="N","Scope 3",Q37="Unknown","Manually Select Scope -&gt;"),"")</f>
        <v/>
      </c>
      <c r="S37" s="1236"/>
      <c r="T37" s="867" t="str">
        <f t="shared" si="2"/>
        <v/>
      </c>
      <c r="V37" s="261"/>
      <c r="W37" s="159" t="s">
        <v>907</v>
      </c>
      <c r="X37" s="159"/>
      <c r="Y37" s="159"/>
      <c r="Z37" s="262"/>
    </row>
    <row r="38" spans="1:26" x14ac:dyDescent="0.35">
      <c r="A38" s="898"/>
      <c r="B38" s="579"/>
      <c r="C38" s="864"/>
      <c r="D38" s="864"/>
      <c r="E38" s="988">
        <f t="shared" si="0"/>
        <v>0</v>
      </c>
      <c r="F38" s="579"/>
      <c r="G38" s="179" t="str">
        <f>IFERROR((VLOOKUP(F38,'Refrigerant properties'!$A$7:$C$19,3,0)*E38),"")</f>
        <v/>
      </c>
      <c r="H38" s="577"/>
      <c r="I38" s="186"/>
      <c r="J38" s="501" t="str" cm="1">
        <f t="array" ref="J38">IFERROR((_xlfn.IFS(I38=$Y$12,"3",I38=$Y$13,"2",I38=$Y$14,"1",I38=$Y$15,"1"))*P38,"")</f>
        <v/>
      </c>
      <c r="K38" s="168"/>
      <c r="L38" s="186"/>
      <c r="M38" s="183" t="str">
        <f>IFERROR(K38/VLOOKUP(L38,'$ Conversion'!$A$9:$B$40,2,0),"")</f>
        <v/>
      </c>
      <c r="N38" s="212"/>
      <c r="O38" s="207" t="str">
        <f>IFERROR(VLOOKUP($B38,'Carbon factors'!$DL$7:$DM$96,2,0),"")</f>
        <v/>
      </c>
      <c r="P38" s="501" t="str">
        <f t="shared" si="1"/>
        <v/>
      </c>
      <c r="Q38" s="501" t="str">
        <f>IFERROR(VLOOKUP(A38,Buildings!$B$9:$D$41,3,0),"")</f>
        <v/>
      </c>
      <c r="R38" s="195" t="str" cm="1">
        <f t="array" ref="R38">IFERROR(_xlfn.IFS(Q38="Y","Scope 1",Q38="N","Scope 3",Q38="Unknown","Manually Select Scope -&gt;"),"")</f>
        <v/>
      </c>
      <c r="S38" s="1236"/>
      <c r="T38" s="867" t="str">
        <f t="shared" si="2"/>
        <v/>
      </c>
      <c r="V38" s="261"/>
      <c r="W38" s="159" t="s">
        <v>908</v>
      </c>
      <c r="X38" s="159"/>
      <c r="Y38" s="159"/>
      <c r="Z38" s="262"/>
    </row>
    <row r="39" spans="1:26" x14ac:dyDescent="0.35">
      <c r="A39" s="898"/>
      <c r="B39" s="579"/>
      <c r="C39" s="864"/>
      <c r="D39" s="864"/>
      <c r="E39" s="988">
        <f t="shared" si="0"/>
        <v>0</v>
      </c>
      <c r="F39" s="579"/>
      <c r="G39" s="179" t="str">
        <f>IFERROR((VLOOKUP(F39,'Refrigerant properties'!$A$7:$C$19,3,0)*E39),"")</f>
        <v/>
      </c>
      <c r="H39" s="577"/>
      <c r="I39" s="186"/>
      <c r="J39" s="501" t="str" cm="1">
        <f t="array" ref="J39">IFERROR((_xlfn.IFS(I39=$Y$12,"3",I39=$Y$13,"2",I39=$Y$14,"1",I39=$Y$15,"1"))*P39,"")</f>
        <v/>
      </c>
      <c r="K39" s="168"/>
      <c r="L39" s="186"/>
      <c r="M39" s="183" t="str">
        <f>IFERROR(K39/VLOOKUP(L39,'$ Conversion'!$A$9:$B$40,2,0),"")</f>
        <v/>
      </c>
      <c r="N39" s="212"/>
      <c r="O39" s="207" t="str">
        <f>IFERROR(VLOOKUP($B39,'Carbon factors'!$DL$7:$DM$96,2,0),"")</f>
        <v/>
      </c>
      <c r="P39" s="501" t="str">
        <f t="shared" si="1"/>
        <v/>
      </c>
      <c r="Q39" s="501" t="str">
        <f>IFERROR(VLOOKUP(A39,Buildings!$B$9:$D$41,3,0),"")</f>
        <v/>
      </c>
      <c r="R39" s="195" t="str" cm="1">
        <f t="array" ref="R39">IFERROR(_xlfn.IFS(Q39="Y","Scope 1",Q39="N","Scope 3",Q39="Unknown","Manually Select Scope -&gt;"),"")</f>
        <v/>
      </c>
      <c r="S39" s="1236"/>
      <c r="T39" s="867" t="str">
        <f t="shared" si="2"/>
        <v/>
      </c>
      <c r="V39" s="261"/>
      <c r="W39" s="159" t="s">
        <v>909</v>
      </c>
      <c r="X39" s="159"/>
      <c r="Y39" s="159"/>
      <c r="Z39" s="262"/>
    </row>
    <row r="40" spans="1:26" x14ac:dyDescent="0.35">
      <c r="A40" s="898"/>
      <c r="B40" s="579"/>
      <c r="C40" s="864"/>
      <c r="D40" s="864"/>
      <c r="E40" s="988">
        <f t="shared" si="0"/>
        <v>0</v>
      </c>
      <c r="F40" s="579"/>
      <c r="G40" s="179" t="str">
        <f>IFERROR((VLOOKUP(F40,'Refrigerant properties'!$A$7:$C$19,3,0)*E40),"")</f>
        <v/>
      </c>
      <c r="H40" s="577"/>
      <c r="I40" s="186"/>
      <c r="J40" s="501" t="str" cm="1">
        <f t="array" ref="J40">IFERROR((_xlfn.IFS(I40=$Y$12,"3",I40=$Y$13,"2",I40=$Y$14,"1",I40=$Y$15,"1"))*P40,"")</f>
        <v/>
      </c>
      <c r="K40" s="168"/>
      <c r="L40" s="186"/>
      <c r="M40" s="183" t="str">
        <f>IFERROR(K40/VLOOKUP(L40,'$ Conversion'!$A$9:$B$40,2,0),"")</f>
        <v/>
      </c>
      <c r="N40" s="212"/>
      <c r="O40" s="207" t="str">
        <f>IFERROR(VLOOKUP($B40,'Carbon factors'!$DL$7:$DM$96,2,0),"")</f>
        <v/>
      </c>
      <c r="P40" s="501" t="str">
        <f t="shared" si="1"/>
        <v/>
      </c>
      <c r="Q40" s="501" t="str">
        <f>IFERROR(VLOOKUP(A40,Buildings!$B$9:$D$41,3,0),"")</f>
        <v/>
      </c>
      <c r="R40" s="195" t="str" cm="1">
        <f t="array" ref="R40">IFERROR(_xlfn.IFS(Q40="Y","Scope 1",Q40="N","Scope 3",Q40="Unknown","Manually Select Scope -&gt;"),"")</f>
        <v/>
      </c>
      <c r="S40" s="1236"/>
      <c r="T40" s="867" t="str">
        <f t="shared" si="2"/>
        <v/>
      </c>
      <c r="V40" s="261"/>
      <c r="W40" s="159" t="s">
        <v>910</v>
      </c>
      <c r="X40" s="159"/>
      <c r="Y40" s="159"/>
      <c r="Z40" s="262"/>
    </row>
    <row r="41" spans="1:26" x14ac:dyDescent="0.35">
      <c r="A41" s="898"/>
      <c r="B41" s="579"/>
      <c r="C41" s="864"/>
      <c r="D41" s="864"/>
      <c r="E41" s="988">
        <f t="shared" si="0"/>
        <v>0</v>
      </c>
      <c r="F41" s="579"/>
      <c r="G41" s="179" t="str">
        <f>IFERROR((VLOOKUP(F41,'Refrigerant properties'!$A$7:$C$19,3,0)*E41),"")</f>
        <v/>
      </c>
      <c r="H41" s="577"/>
      <c r="I41" s="186"/>
      <c r="J41" s="501" t="str" cm="1">
        <f t="array" ref="J41">IFERROR((_xlfn.IFS(I41=$Y$12,"3",I41=$Y$13,"2",I41=$Y$14,"1",I41=$Y$15,"1"))*P41,"")</f>
        <v/>
      </c>
      <c r="K41" s="168"/>
      <c r="L41" s="186"/>
      <c r="M41" s="183" t="str">
        <f>IFERROR(K41/VLOOKUP(L41,'$ Conversion'!$A$9:$B$40,2,0),"")</f>
        <v/>
      </c>
      <c r="N41" s="212"/>
      <c r="O41" s="207" t="str">
        <f>IFERROR(VLOOKUP($B41,'Carbon factors'!$DL$7:$DM$96,2,0),"")</f>
        <v/>
      </c>
      <c r="P41" s="501" t="str">
        <f t="shared" si="1"/>
        <v/>
      </c>
      <c r="Q41" s="501" t="str">
        <f>IFERROR(VLOOKUP(A41,Buildings!$B$9:$D$41,3,0),"")</f>
        <v/>
      </c>
      <c r="R41" s="195" t="str" cm="1">
        <f t="array" ref="R41">IFERROR(_xlfn.IFS(Q41="Y","Scope 1",Q41="N","Scope 3",Q41="Unknown","Manually Select Scope -&gt;"),"")</f>
        <v/>
      </c>
      <c r="S41" s="1236"/>
      <c r="T41" s="867" t="str">
        <f t="shared" si="2"/>
        <v/>
      </c>
      <c r="V41" s="261"/>
      <c r="W41" s="159" t="s">
        <v>911</v>
      </c>
      <c r="X41" s="159"/>
      <c r="Y41" s="159"/>
      <c r="Z41" s="262"/>
    </row>
    <row r="42" spans="1:26" x14ac:dyDescent="0.35">
      <c r="A42" s="898"/>
      <c r="B42" s="579"/>
      <c r="C42" s="864"/>
      <c r="D42" s="864"/>
      <c r="E42" s="988">
        <f t="shared" si="0"/>
        <v>0</v>
      </c>
      <c r="F42" s="579"/>
      <c r="G42" s="179" t="str">
        <f>IFERROR((VLOOKUP(F42,'Refrigerant properties'!$A$7:$C$19,3,0)*E42),"")</f>
        <v/>
      </c>
      <c r="H42" s="577"/>
      <c r="I42" s="186"/>
      <c r="J42" s="501" t="str" cm="1">
        <f t="array" ref="J42">IFERROR((_xlfn.IFS(I42=$Y$12,"3",I42=$Y$13,"2",I42=$Y$14,"1",I42=$Y$15,"1"))*P42,"")</f>
        <v/>
      </c>
      <c r="K42" s="168"/>
      <c r="L42" s="186"/>
      <c r="M42" s="183" t="str">
        <f>IFERROR(K42/VLOOKUP(L42,'$ Conversion'!$A$9:$B$40,2,0),"")</f>
        <v/>
      </c>
      <c r="N42" s="212"/>
      <c r="O42" s="207" t="str">
        <f>IFERROR(VLOOKUP($B42,'Carbon factors'!$DL$7:$DM$96,2,0),"")</f>
        <v/>
      </c>
      <c r="P42" s="501" t="str">
        <f t="shared" si="1"/>
        <v/>
      </c>
      <c r="Q42" s="501" t="str">
        <f>IFERROR(VLOOKUP(A42,Buildings!$B$9:$D$41,3,0),"")</f>
        <v/>
      </c>
      <c r="R42" s="195" t="str" cm="1">
        <f t="array" ref="R42">IFERROR(_xlfn.IFS(Q42="Y","Scope 1",Q42="N","Scope 3",Q42="Unknown","Manually Select Scope -&gt;"),"")</f>
        <v/>
      </c>
      <c r="S42" s="1236"/>
      <c r="T42" s="867" t="str">
        <f t="shared" si="2"/>
        <v/>
      </c>
      <c r="V42" s="261"/>
      <c r="W42" s="159" t="s">
        <v>912</v>
      </c>
      <c r="X42" s="159"/>
      <c r="Y42" s="159"/>
      <c r="Z42" s="262"/>
    </row>
    <row r="43" spans="1:26" x14ac:dyDescent="0.35">
      <c r="A43" s="898"/>
      <c r="B43" s="579"/>
      <c r="C43" s="864"/>
      <c r="D43" s="864"/>
      <c r="E43" s="988">
        <f t="shared" si="0"/>
        <v>0</v>
      </c>
      <c r="F43" s="579"/>
      <c r="G43" s="179" t="str">
        <f>IFERROR((VLOOKUP(F43,'Refrigerant properties'!$A$7:$C$19,3,0)*E43),"")</f>
        <v/>
      </c>
      <c r="H43" s="577"/>
      <c r="I43" s="186"/>
      <c r="J43" s="501" t="str" cm="1">
        <f t="array" ref="J43">IFERROR((_xlfn.IFS(I43=$Y$12,"3",I43=$Y$13,"2",I43=$Y$14,"1",I43=$Y$15,"1"))*P43,"")</f>
        <v/>
      </c>
      <c r="K43" s="168"/>
      <c r="L43" s="186"/>
      <c r="M43" s="183" t="str">
        <f>IFERROR(K43/VLOOKUP(L43,'$ Conversion'!$A$9:$B$40,2,0),"")</f>
        <v/>
      </c>
      <c r="N43" s="212"/>
      <c r="O43" s="207" t="str">
        <f>IFERROR(VLOOKUP($B43,'Carbon factors'!$DL$7:$DM$96,2,0),"")</f>
        <v/>
      </c>
      <c r="P43" s="501" t="str">
        <f t="shared" si="1"/>
        <v/>
      </c>
      <c r="Q43" s="501" t="str">
        <f>IFERROR(VLOOKUP(A43,Buildings!$B$9:$D$41,3,0),"")</f>
        <v/>
      </c>
      <c r="R43" s="195" t="str" cm="1">
        <f t="array" ref="R43">IFERROR(_xlfn.IFS(Q43="Y","Scope 1",Q43="N","Scope 3",Q43="Unknown","Manually Select Scope -&gt;"),"")</f>
        <v/>
      </c>
      <c r="S43" s="1236"/>
      <c r="T43" s="867" t="str">
        <f t="shared" si="2"/>
        <v/>
      </c>
      <c r="V43" s="261"/>
      <c r="W43" s="159" t="s">
        <v>913</v>
      </c>
      <c r="X43" s="159"/>
      <c r="Y43" s="159"/>
      <c r="Z43" s="262"/>
    </row>
    <row r="44" spans="1:26" x14ac:dyDescent="0.35">
      <c r="A44" s="898"/>
      <c r="B44" s="579"/>
      <c r="C44" s="864"/>
      <c r="D44" s="864"/>
      <c r="E44" s="988">
        <f t="shared" si="0"/>
        <v>0</v>
      </c>
      <c r="F44" s="579"/>
      <c r="G44" s="179" t="str">
        <f>IFERROR((VLOOKUP(F44,'Refrigerant properties'!$A$7:$C$19,3,0)*E44),"")</f>
        <v/>
      </c>
      <c r="H44" s="577"/>
      <c r="I44" s="186"/>
      <c r="J44" s="501" t="str" cm="1">
        <f t="array" ref="J44">IFERROR((_xlfn.IFS(I44=$Y$12,"3",I44=$Y$13,"2",I44=$Y$14,"1",I44=$Y$15,"1"))*P44,"")</f>
        <v/>
      </c>
      <c r="K44" s="168"/>
      <c r="L44" s="186"/>
      <c r="M44" s="183" t="str">
        <f>IFERROR(K44/VLOOKUP(L44,'$ Conversion'!$A$9:$B$40,2,0),"")</f>
        <v/>
      </c>
      <c r="N44" s="212"/>
      <c r="O44" s="207" t="str">
        <f>IFERROR(VLOOKUP($B44,'Carbon factors'!$DL$7:$DM$96,2,0),"")</f>
        <v/>
      </c>
      <c r="P44" s="501" t="str">
        <f t="shared" si="1"/>
        <v/>
      </c>
      <c r="Q44" s="501" t="str">
        <f>IFERROR(VLOOKUP(A44,Buildings!$B$9:$D$41,3,0),"")</f>
        <v/>
      </c>
      <c r="R44" s="195" t="str" cm="1">
        <f t="array" ref="R44">IFERROR(_xlfn.IFS(Q44="Y","Scope 1",Q44="N","Scope 3",Q44="Unknown","Manually Select Scope -&gt;"),"")</f>
        <v/>
      </c>
      <c r="S44" s="1236"/>
      <c r="T44" s="867" t="str">
        <f t="shared" si="2"/>
        <v/>
      </c>
      <c r="V44" s="261"/>
      <c r="W44" s="159" t="s">
        <v>914</v>
      </c>
      <c r="X44" s="159"/>
      <c r="Y44" s="159"/>
      <c r="Z44" s="262"/>
    </row>
    <row r="45" spans="1:26" x14ac:dyDescent="0.35">
      <c r="A45" s="898"/>
      <c r="B45" s="579"/>
      <c r="C45" s="864"/>
      <c r="D45" s="864"/>
      <c r="E45" s="988">
        <f t="shared" si="0"/>
        <v>0</v>
      </c>
      <c r="F45" s="579"/>
      <c r="G45" s="179" t="str">
        <f>IFERROR((VLOOKUP(F45,'Refrigerant properties'!$A$7:$C$19,3,0)*E45),"")</f>
        <v/>
      </c>
      <c r="H45" s="577"/>
      <c r="I45" s="186"/>
      <c r="J45" s="501" t="str" cm="1">
        <f t="array" ref="J45">IFERROR((_xlfn.IFS(I45=$Y$12,"3",I45=$Y$13,"2",I45=$Y$14,"1",I45=$Y$15,"1"))*P45,"")</f>
        <v/>
      </c>
      <c r="K45" s="168"/>
      <c r="L45" s="186"/>
      <c r="M45" s="183" t="str">
        <f>IFERROR(K45/VLOOKUP(L45,'$ Conversion'!$A$9:$B$40,2,0),"")</f>
        <v/>
      </c>
      <c r="N45" s="212"/>
      <c r="O45" s="207" t="str">
        <f>IFERROR(VLOOKUP($B45,'Carbon factors'!$DL$7:$DM$96,2,0),"")</f>
        <v/>
      </c>
      <c r="P45" s="501" t="str">
        <f t="shared" si="1"/>
        <v/>
      </c>
      <c r="Q45" s="501" t="str">
        <f>IFERROR(VLOOKUP(A45,Buildings!$B$9:$D$41,3,0),"")</f>
        <v/>
      </c>
      <c r="R45" s="195" t="str" cm="1">
        <f t="array" ref="R45">IFERROR(_xlfn.IFS(Q45="Y","Scope 1",Q45="N","Scope 3",Q45="Unknown","Manually Select Scope -&gt;"),"")</f>
        <v/>
      </c>
      <c r="S45" s="1236"/>
      <c r="T45" s="867" t="str">
        <f t="shared" si="2"/>
        <v/>
      </c>
      <c r="V45" s="261"/>
      <c r="W45" s="159" t="s">
        <v>915</v>
      </c>
      <c r="X45" s="159"/>
      <c r="Y45" s="159"/>
      <c r="Z45" s="262"/>
    </row>
    <row r="46" spans="1:26" x14ac:dyDescent="0.35">
      <c r="A46" s="898"/>
      <c r="B46" s="579"/>
      <c r="C46" s="864"/>
      <c r="D46" s="864"/>
      <c r="E46" s="988">
        <f t="shared" si="0"/>
        <v>0</v>
      </c>
      <c r="F46" s="579"/>
      <c r="G46" s="179" t="str">
        <f>IFERROR((VLOOKUP(F46,'Refrigerant properties'!$A$7:$C$19,3,0)*E46),"")</f>
        <v/>
      </c>
      <c r="H46" s="577"/>
      <c r="I46" s="186"/>
      <c r="J46" s="501" t="str" cm="1">
        <f t="array" ref="J46">IFERROR((_xlfn.IFS(I46=$Y$12,"3",I46=$Y$13,"2",I46=$Y$14,"1",I46=$Y$15,"1"))*P46,"")</f>
        <v/>
      </c>
      <c r="K46" s="168"/>
      <c r="L46" s="186"/>
      <c r="M46" s="183" t="str">
        <f>IFERROR(K46/VLOOKUP(L46,'$ Conversion'!$A$9:$B$40,2,0),"")</f>
        <v/>
      </c>
      <c r="N46" s="212"/>
      <c r="O46" s="207" t="str">
        <f>IFERROR(VLOOKUP($B46,'Carbon factors'!$DL$7:$DM$96,2,0),"")</f>
        <v/>
      </c>
      <c r="P46" s="501" t="str">
        <f t="shared" si="1"/>
        <v/>
      </c>
      <c r="Q46" s="501" t="str">
        <f>IFERROR(VLOOKUP(A46,Buildings!$B$9:$D$41,3,0),"")</f>
        <v/>
      </c>
      <c r="R46" s="195" t="str" cm="1">
        <f t="array" ref="R46">IFERROR(_xlfn.IFS(Q46="Y","Scope 1",Q46="N","Scope 3",Q46="Unknown","Manually Select Scope -&gt;"),"")</f>
        <v/>
      </c>
      <c r="S46" s="1236"/>
      <c r="T46" s="867" t="str">
        <f t="shared" si="2"/>
        <v/>
      </c>
      <c r="V46" s="261"/>
      <c r="W46" s="159" t="s">
        <v>916</v>
      </c>
      <c r="X46" s="159"/>
      <c r="Y46" s="159"/>
      <c r="Z46" s="262"/>
    </row>
    <row r="47" spans="1:26" x14ac:dyDescent="0.35">
      <c r="A47" s="898"/>
      <c r="B47" s="579"/>
      <c r="C47" s="864"/>
      <c r="D47" s="864"/>
      <c r="E47" s="988">
        <f t="shared" si="0"/>
        <v>0</v>
      </c>
      <c r="F47" s="579"/>
      <c r="G47" s="179" t="str">
        <f>IFERROR((VLOOKUP(F47,'Refrigerant properties'!$A$7:$C$19,3,0)*E47),"")</f>
        <v/>
      </c>
      <c r="H47" s="577"/>
      <c r="I47" s="186"/>
      <c r="J47" s="501" t="str" cm="1">
        <f t="array" ref="J47">IFERROR((_xlfn.IFS(I47=$Y$12,"3",I47=$Y$13,"2",I47=$Y$14,"1",I47=$Y$15,"1"))*P47,"")</f>
        <v/>
      </c>
      <c r="K47" s="168"/>
      <c r="L47" s="186"/>
      <c r="M47" s="183" t="str">
        <f>IFERROR(K47/VLOOKUP(L47,'$ Conversion'!$A$9:$B$40,2,0),"")</f>
        <v/>
      </c>
      <c r="N47" s="212"/>
      <c r="O47" s="207" t="str">
        <f>IFERROR(VLOOKUP($B47,'Carbon factors'!$DL$7:$DM$96,2,0),"")</f>
        <v/>
      </c>
      <c r="P47" s="501" t="str">
        <f t="shared" si="1"/>
        <v/>
      </c>
      <c r="Q47" s="501" t="str">
        <f>IFERROR(VLOOKUP(A47,Buildings!$B$9:$D$41,3,0),"")</f>
        <v/>
      </c>
      <c r="R47" s="195" t="str" cm="1">
        <f t="array" ref="R47">IFERROR(_xlfn.IFS(Q47="Y","Scope 1",Q47="N","Scope 3",Q47="Unknown","Manually Select Scope -&gt;"),"")</f>
        <v/>
      </c>
      <c r="S47" s="1236"/>
      <c r="T47" s="867" t="str">
        <f t="shared" si="2"/>
        <v/>
      </c>
      <c r="V47" s="261"/>
      <c r="W47" s="159" t="s">
        <v>917</v>
      </c>
      <c r="X47" s="159"/>
      <c r="Y47" s="159"/>
      <c r="Z47" s="262"/>
    </row>
    <row r="48" spans="1:26" x14ac:dyDescent="0.35">
      <c r="A48" s="898"/>
      <c r="B48" s="579"/>
      <c r="C48" s="864"/>
      <c r="D48" s="864"/>
      <c r="E48" s="988">
        <f t="shared" si="0"/>
        <v>0</v>
      </c>
      <c r="F48" s="579"/>
      <c r="G48" s="179" t="str">
        <f>IFERROR((VLOOKUP(F48,'Refrigerant properties'!$A$7:$C$19,3,0)*E48),"")</f>
        <v/>
      </c>
      <c r="H48" s="577"/>
      <c r="I48" s="186"/>
      <c r="J48" s="501" t="str" cm="1">
        <f t="array" ref="J48">IFERROR((_xlfn.IFS(I48=$Y$12,"3",I48=$Y$13,"2",I48=$Y$14,"1",I48=$Y$15,"1"))*P48,"")</f>
        <v/>
      </c>
      <c r="K48" s="168"/>
      <c r="L48" s="186"/>
      <c r="M48" s="183" t="str">
        <f>IFERROR(K48/VLOOKUP(L48,'$ Conversion'!$A$9:$B$40,2,0),"")</f>
        <v/>
      </c>
      <c r="N48" s="212"/>
      <c r="O48" s="207" t="str">
        <f>IFERROR(VLOOKUP($B48,'Carbon factors'!$DL$7:$DM$96,2,0),"")</f>
        <v/>
      </c>
      <c r="P48" s="501" t="str">
        <f t="shared" si="1"/>
        <v/>
      </c>
      <c r="Q48" s="501" t="str">
        <f>IFERROR(VLOOKUP(A48,Buildings!$B$9:$D$41,3,0),"")</f>
        <v/>
      </c>
      <c r="R48" s="195" t="str" cm="1">
        <f t="array" ref="R48">IFERROR(_xlfn.IFS(Q48="Y","Scope 1",Q48="N","Scope 3",Q48="Unknown","Manually Select Scope -&gt;"),"")</f>
        <v/>
      </c>
      <c r="S48" s="1236"/>
      <c r="T48" s="867" t="str">
        <f t="shared" si="2"/>
        <v/>
      </c>
      <c r="V48" s="261"/>
      <c r="W48" s="159" t="s">
        <v>918</v>
      </c>
      <c r="X48" s="159"/>
      <c r="Y48" s="159"/>
      <c r="Z48" s="262"/>
    </row>
    <row r="49" spans="1:26" x14ac:dyDescent="0.35">
      <c r="A49" s="898"/>
      <c r="B49" s="579"/>
      <c r="C49" s="864"/>
      <c r="D49" s="864"/>
      <c r="E49" s="988">
        <f t="shared" si="0"/>
        <v>0</v>
      </c>
      <c r="F49" s="579"/>
      <c r="G49" s="179" t="str">
        <f>IFERROR((VLOOKUP(F49,'Refrigerant properties'!$A$7:$C$19,3,0)*E49),"")</f>
        <v/>
      </c>
      <c r="H49" s="577"/>
      <c r="I49" s="186"/>
      <c r="J49" s="501" t="str" cm="1">
        <f t="array" ref="J49">IFERROR((_xlfn.IFS(I49=$Y$12,"3",I49=$Y$13,"2",I49=$Y$14,"1",I49=$Y$15,"1"))*P49,"")</f>
        <v/>
      </c>
      <c r="K49" s="168"/>
      <c r="L49" s="186"/>
      <c r="M49" s="183" t="str">
        <f>IFERROR(K49/VLOOKUP(L49,'$ Conversion'!$A$9:$B$40,2,0),"")</f>
        <v/>
      </c>
      <c r="N49" s="212"/>
      <c r="O49" s="207" t="str">
        <f>IFERROR(VLOOKUP($B49,'Carbon factors'!$DL$7:$DM$96,2,0),"")</f>
        <v/>
      </c>
      <c r="P49" s="501" t="str">
        <f t="shared" si="1"/>
        <v/>
      </c>
      <c r="Q49" s="501" t="str">
        <f>IFERROR(VLOOKUP(A49,Buildings!$B$9:$D$41,3,0),"")</f>
        <v/>
      </c>
      <c r="R49" s="195" t="str" cm="1">
        <f t="array" ref="R49">IFERROR(_xlfn.IFS(Q49="Y","Scope 1",Q49="N","Scope 3",Q49="Unknown","Manually Select Scope -&gt;"),"")</f>
        <v/>
      </c>
      <c r="S49" s="1236"/>
      <c r="T49" s="867" t="str">
        <f t="shared" si="2"/>
        <v/>
      </c>
      <c r="V49" s="261"/>
      <c r="W49" s="159" t="s">
        <v>919</v>
      </c>
      <c r="X49" s="159"/>
      <c r="Y49" s="159"/>
      <c r="Z49" s="262"/>
    </row>
    <row r="50" spans="1:26" x14ac:dyDescent="0.35">
      <c r="A50" s="898"/>
      <c r="B50" s="579"/>
      <c r="C50" s="864"/>
      <c r="D50" s="864"/>
      <c r="E50" s="988">
        <f t="shared" si="0"/>
        <v>0</v>
      </c>
      <c r="F50" s="579"/>
      <c r="G50" s="179" t="str">
        <f>IFERROR((VLOOKUP(F50,'Refrigerant properties'!$A$7:$C$19,3,0)*E50),"")</f>
        <v/>
      </c>
      <c r="H50" s="577"/>
      <c r="I50" s="186"/>
      <c r="J50" s="501" t="str" cm="1">
        <f t="array" ref="J50">IFERROR((_xlfn.IFS(I50=$Y$12,"3",I50=$Y$13,"2",I50=$Y$14,"1",I50=$Y$15,"1"))*P50,"")</f>
        <v/>
      </c>
      <c r="K50" s="168"/>
      <c r="L50" s="186"/>
      <c r="M50" s="183" t="str">
        <f>IFERROR(K50/VLOOKUP(L50,'$ Conversion'!$A$9:$B$40,2,0),"")</f>
        <v/>
      </c>
      <c r="N50" s="212"/>
      <c r="O50" s="207" t="str">
        <f>IFERROR(VLOOKUP($B50,'Carbon factors'!$DL$7:$DM$96,2,0),"")</f>
        <v/>
      </c>
      <c r="P50" s="501" t="str">
        <f t="shared" si="1"/>
        <v/>
      </c>
      <c r="Q50" s="501" t="str">
        <f>IFERROR(VLOOKUP(A50,Buildings!$B$9:$D$41,3,0),"")</f>
        <v/>
      </c>
      <c r="R50" s="195" t="str" cm="1">
        <f t="array" ref="R50">IFERROR(_xlfn.IFS(Q50="Y","Scope 1",Q50="N","Scope 3",Q50="Unknown","Manually Select Scope -&gt;"),"")</f>
        <v/>
      </c>
      <c r="S50" s="1236"/>
      <c r="T50" s="867" t="str">
        <f t="shared" si="2"/>
        <v/>
      </c>
      <c r="V50" s="261"/>
      <c r="W50" s="159" t="s">
        <v>920</v>
      </c>
      <c r="X50" s="159"/>
      <c r="Y50" s="159"/>
      <c r="Z50" s="262"/>
    </row>
    <row r="51" spans="1:26" x14ac:dyDescent="0.35">
      <c r="A51" s="898"/>
      <c r="B51" s="579"/>
      <c r="C51" s="864"/>
      <c r="D51" s="864"/>
      <c r="E51" s="988">
        <f t="shared" si="0"/>
        <v>0</v>
      </c>
      <c r="F51" s="579"/>
      <c r="G51" s="179" t="str">
        <f>IFERROR((VLOOKUP(F51,'Refrigerant properties'!$A$7:$C$19,3,0)*E51),"")</f>
        <v/>
      </c>
      <c r="H51" s="577"/>
      <c r="I51" s="186"/>
      <c r="J51" s="501" t="str" cm="1">
        <f t="array" ref="J51">IFERROR((_xlfn.IFS(I51=$Y$12,"3",I51=$Y$13,"2",I51=$Y$14,"1",I51=$Y$15,"1"))*P51,"")</f>
        <v/>
      </c>
      <c r="K51" s="168"/>
      <c r="L51" s="186"/>
      <c r="M51" s="183" t="str">
        <f>IFERROR(K51/VLOOKUP(L51,'$ Conversion'!$A$9:$B$40,2,0),"")</f>
        <v/>
      </c>
      <c r="N51" s="212"/>
      <c r="O51" s="207" t="str">
        <f>IFERROR(VLOOKUP($B51,'Carbon factors'!$DL$7:$DM$96,2,0),"")</f>
        <v/>
      </c>
      <c r="P51" s="501" t="str">
        <f t="shared" si="1"/>
        <v/>
      </c>
      <c r="Q51" s="501" t="str">
        <f>IFERROR(VLOOKUP(A51,Buildings!$B$9:$D$41,3,0),"")</f>
        <v/>
      </c>
      <c r="R51" s="195" t="str" cm="1">
        <f t="array" ref="R51">IFERROR(_xlfn.IFS(Q51="Y","Scope 1",Q51="N","Scope 3",Q51="Unknown","Manually Select Scope -&gt;"),"")</f>
        <v/>
      </c>
      <c r="S51" s="1236"/>
      <c r="T51" s="867" t="str">
        <f t="shared" si="2"/>
        <v/>
      </c>
      <c r="V51" s="261"/>
      <c r="W51" s="159" t="s">
        <v>921</v>
      </c>
      <c r="X51" s="159"/>
      <c r="Y51" s="159"/>
      <c r="Z51" s="262"/>
    </row>
    <row r="52" spans="1:26" x14ac:dyDescent="0.35">
      <c r="A52" s="898"/>
      <c r="B52" s="579"/>
      <c r="C52" s="864"/>
      <c r="D52" s="864"/>
      <c r="E52" s="988">
        <f t="shared" si="0"/>
        <v>0</v>
      </c>
      <c r="F52" s="579"/>
      <c r="G52" s="179" t="str">
        <f>IFERROR((VLOOKUP(F52,'Refrigerant properties'!$A$7:$C$19,3,0)*E52),"")</f>
        <v/>
      </c>
      <c r="H52" s="577"/>
      <c r="I52" s="186"/>
      <c r="J52" s="501" t="str" cm="1">
        <f t="array" ref="J52">IFERROR((_xlfn.IFS(I52=$Y$12,"3",I52=$Y$13,"2",I52=$Y$14,"1",I52=$Y$15,"1"))*P52,"")</f>
        <v/>
      </c>
      <c r="K52" s="168"/>
      <c r="L52" s="186"/>
      <c r="M52" s="183" t="str">
        <f>IFERROR(K52/VLOOKUP(L52,'$ Conversion'!$A$9:$B$40,2,0),"")</f>
        <v/>
      </c>
      <c r="N52" s="212"/>
      <c r="O52" s="207" t="str">
        <f>IFERROR(VLOOKUP($B52,'Carbon factors'!$DL$7:$DM$96,2,0),"")</f>
        <v/>
      </c>
      <c r="P52" s="501" t="str">
        <f t="shared" si="1"/>
        <v/>
      </c>
      <c r="Q52" s="501" t="str">
        <f>IFERROR(VLOOKUP(A52,Buildings!$B$9:$D$41,3,0),"")</f>
        <v/>
      </c>
      <c r="R52" s="195" t="str" cm="1">
        <f t="array" ref="R52">IFERROR(_xlfn.IFS(Q52="Y","Scope 1",Q52="N","Scope 3",Q52="Unknown","Manually Select Scope -&gt;"),"")</f>
        <v/>
      </c>
      <c r="S52" s="1236"/>
      <c r="T52" s="867" t="str">
        <f t="shared" si="2"/>
        <v/>
      </c>
      <c r="V52" s="261"/>
      <c r="W52" s="159" t="s">
        <v>922</v>
      </c>
      <c r="X52" s="159"/>
      <c r="Y52" s="159"/>
      <c r="Z52" s="262"/>
    </row>
    <row r="53" spans="1:26" x14ac:dyDescent="0.35">
      <c r="A53" s="898"/>
      <c r="B53" s="579"/>
      <c r="C53" s="864"/>
      <c r="D53" s="864"/>
      <c r="E53" s="988">
        <f t="shared" si="0"/>
        <v>0</v>
      </c>
      <c r="F53" s="579"/>
      <c r="G53" s="179" t="str">
        <f>IFERROR((VLOOKUP(F53,'Refrigerant properties'!$A$7:$C$19,3,0)*E53),"")</f>
        <v/>
      </c>
      <c r="H53" s="577"/>
      <c r="I53" s="186"/>
      <c r="J53" s="501" t="str" cm="1">
        <f t="array" ref="J53">IFERROR((_xlfn.IFS(I53=$Y$12,"3",I53=$Y$13,"2",I53=$Y$14,"1",I53=$Y$15,"1"))*P53,"")</f>
        <v/>
      </c>
      <c r="K53" s="168"/>
      <c r="L53" s="186"/>
      <c r="M53" s="183" t="str">
        <f>IFERROR(K53/VLOOKUP(L53,'$ Conversion'!$A$9:$B$40,2,0),"")</f>
        <v/>
      </c>
      <c r="N53" s="212"/>
      <c r="O53" s="207" t="str">
        <f>IFERROR(VLOOKUP($B53,'Carbon factors'!$DL$7:$DM$96,2,0),"")</f>
        <v/>
      </c>
      <c r="P53" s="501" t="str">
        <f t="shared" si="1"/>
        <v/>
      </c>
      <c r="Q53" s="501" t="str">
        <f>IFERROR(VLOOKUP(A53,Buildings!$B$9:$D$41,3,0),"")</f>
        <v/>
      </c>
      <c r="R53" s="195" t="str" cm="1">
        <f t="array" ref="R53">IFERROR(_xlfn.IFS(Q53="Y","Scope 1",Q53="N","Scope 3",Q53="Unknown","Manually Select Scope -&gt;"),"")</f>
        <v/>
      </c>
      <c r="S53" s="1236"/>
      <c r="T53" s="867" t="str">
        <f t="shared" si="2"/>
        <v/>
      </c>
      <c r="V53" s="261"/>
      <c r="W53" s="159" t="s">
        <v>923</v>
      </c>
      <c r="X53" s="159"/>
      <c r="Y53" s="159"/>
      <c r="Z53" s="262"/>
    </row>
    <row r="54" spans="1:26" x14ac:dyDescent="0.35">
      <c r="A54" s="898"/>
      <c r="B54" s="579"/>
      <c r="C54" s="864"/>
      <c r="D54" s="864"/>
      <c r="E54" s="988">
        <f t="shared" si="0"/>
        <v>0</v>
      </c>
      <c r="F54" s="579"/>
      <c r="G54" s="179" t="str">
        <f>IFERROR((VLOOKUP(F54,'Refrigerant properties'!$A$7:$C$19,3,0)*E54),"")</f>
        <v/>
      </c>
      <c r="H54" s="577"/>
      <c r="I54" s="186"/>
      <c r="J54" s="501" t="str" cm="1">
        <f t="array" ref="J54">IFERROR((_xlfn.IFS(I54=$Y$12,"3",I54=$Y$13,"2",I54=$Y$14,"1",I54=$Y$15,"1"))*P54,"")</f>
        <v/>
      </c>
      <c r="K54" s="168"/>
      <c r="L54" s="186"/>
      <c r="M54" s="183" t="str">
        <f>IFERROR(K54/VLOOKUP(L54,'$ Conversion'!$A$9:$B$40,2,0),"")</f>
        <v/>
      </c>
      <c r="N54" s="212"/>
      <c r="O54" s="207" t="str">
        <f>IFERROR(VLOOKUP($B54,'Carbon factors'!$DL$7:$DM$96,2,0),"")</f>
        <v/>
      </c>
      <c r="P54" s="501" t="str">
        <f t="shared" si="1"/>
        <v/>
      </c>
      <c r="Q54" s="501" t="str">
        <f>IFERROR(VLOOKUP(A54,Buildings!$B$9:$D$41,3,0),"")</f>
        <v/>
      </c>
      <c r="R54" s="195" t="str" cm="1">
        <f t="array" ref="R54">IFERROR(_xlfn.IFS(Q54="Y","Scope 1",Q54="N","Scope 3",Q54="Unknown","Manually Select Scope -&gt;"),"")</f>
        <v/>
      </c>
      <c r="S54" s="1236"/>
      <c r="T54" s="867" t="str">
        <f t="shared" si="2"/>
        <v/>
      </c>
      <c r="V54" s="261"/>
      <c r="W54" s="159" t="s">
        <v>924</v>
      </c>
      <c r="X54" s="159"/>
      <c r="Y54" s="159"/>
      <c r="Z54" s="262"/>
    </row>
    <row r="55" spans="1:26" ht="15" thickBot="1" x14ac:dyDescent="0.4">
      <c r="A55" s="899"/>
      <c r="B55" s="580"/>
      <c r="C55" s="865"/>
      <c r="D55" s="865"/>
      <c r="E55" s="989">
        <f t="shared" si="0"/>
        <v>0</v>
      </c>
      <c r="F55" s="580"/>
      <c r="G55" s="180" t="str">
        <f>IFERROR((VLOOKUP(F55,'Refrigerant properties'!$A$7:$C$19,3,0)*E55),"")</f>
        <v/>
      </c>
      <c r="H55" s="575"/>
      <c r="I55" s="188"/>
      <c r="J55" s="502" t="str" cm="1">
        <f t="array" ref="J55">IFERROR((_xlfn.IFS(I55=$Y$12,"3",I55=$Y$13,"2",I55=$Y$14,"1",I55=$Y$15,"1"))*P55,"")</f>
        <v/>
      </c>
      <c r="K55" s="187"/>
      <c r="L55" s="188"/>
      <c r="M55" s="184" t="str">
        <f>IFERROR(K55/VLOOKUP(L55,'$ Conversion'!$A$9:$B$40,2,0),"")</f>
        <v/>
      </c>
      <c r="N55" s="213"/>
      <c r="O55" s="208" t="str">
        <f>IFERROR(VLOOKUP($B55,'Carbon factors'!$DL$7:$DM$96,2,0),"")</f>
        <v/>
      </c>
      <c r="P55" s="502" t="str">
        <f t="shared" si="1"/>
        <v/>
      </c>
      <c r="Q55" s="502" t="str">
        <f>IFERROR(VLOOKUP(A55,Buildings!$B$9:$D$41,3,0),"")</f>
        <v/>
      </c>
      <c r="R55" s="196" t="str" cm="1">
        <f t="array" ref="R55">IFERROR(_xlfn.IFS(Q55="Y","Scope 1",Q55="N","Scope 3",Q55="Unknown","Manually Select Scope -&gt;"),"")</f>
        <v/>
      </c>
      <c r="S55" s="1237"/>
      <c r="T55" s="868" t="str">
        <f t="shared" si="2"/>
        <v/>
      </c>
      <c r="V55" s="261"/>
      <c r="W55" s="159" t="s">
        <v>925</v>
      </c>
      <c r="X55" s="159"/>
      <c r="Y55" s="159"/>
      <c r="Z55" s="262"/>
    </row>
    <row r="56" spans="1:26" x14ac:dyDescent="0.35">
      <c r="V56" s="235"/>
      <c r="W56" s="159" t="s">
        <v>926</v>
      </c>
      <c r="X56" s="159"/>
      <c r="Y56" s="158"/>
      <c r="Z56" s="262"/>
    </row>
    <row r="57" spans="1:26" x14ac:dyDescent="0.35">
      <c r="V57" s="235"/>
      <c r="W57" s="159" t="s">
        <v>927</v>
      </c>
      <c r="X57" s="159"/>
      <c r="Y57" s="158"/>
      <c r="Z57" s="262"/>
    </row>
    <row r="58" spans="1:26" x14ac:dyDescent="0.35">
      <c r="V58" s="235"/>
      <c r="W58" s="159" t="s">
        <v>928</v>
      </c>
      <c r="X58" s="159"/>
      <c r="Y58" s="158"/>
      <c r="Z58" s="262"/>
    </row>
    <row r="59" spans="1:26" x14ac:dyDescent="0.35">
      <c r="V59" s="235"/>
      <c r="W59" s="159" t="s">
        <v>929</v>
      </c>
      <c r="X59" s="159"/>
      <c r="Y59" s="158"/>
      <c r="Z59" s="262"/>
    </row>
    <row r="60" spans="1:26" x14ac:dyDescent="0.35">
      <c r="V60" s="235"/>
      <c r="W60" s="159" t="s">
        <v>930</v>
      </c>
      <c r="X60" s="159"/>
      <c r="Y60" s="158"/>
      <c r="Z60" s="262"/>
    </row>
    <row r="61" spans="1:26" x14ac:dyDescent="0.35">
      <c r="V61" s="235"/>
      <c r="W61" s="159" t="s">
        <v>931</v>
      </c>
      <c r="X61" s="159"/>
      <c r="Y61" s="158"/>
      <c r="Z61" s="262"/>
    </row>
    <row r="62" spans="1:26" x14ac:dyDescent="0.35">
      <c r="V62" s="235"/>
      <c r="W62" s="159" t="s">
        <v>932</v>
      </c>
      <c r="X62" s="159"/>
      <c r="Y62" s="158"/>
      <c r="Z62" s="262"/>
    </row>
    <row r="63" spans="1:26" x14ac:dyDescent="0.35">
      <c r="V63" s="235"/>
      <c r="W63" s="159" t="s">
        <v>933</v>
      </c>
      <c r="X63" s="159"/>
      <c r="Y63" s="158"/>
      <c r="Z63" s="262"/>
    </row>
    <row r="64" spans="1:26" x14ac:dyDescent="0.35">
      <c r="V64" s="235"/>
      <c r="W64" s="159" t="s">
        <v>934</v>
      </c>
      <c r="X64" s="159"/>
      <c r="Y64" s="158"/>
      <c r="Z64" s="262"/>
    </row>
    <row r="65" spans="22:26" x14ac:dyDescent="0.35">
      <c r="V65" s="235"/>
      <c r="W65" s="159" t="s">
        <v>935</v>
      </c>
      <c r="X65" s="159"/>
      <c r="Y65" s="158"/>
      <c r="Z65" s="262"/>
    </row>
    <row r="66" spans="22:26" x14ac:dyDescent="0.35">
      <c r="V66" s="235"/>
      <c r="W66" s="159" t="s">
        <v>936</v>
      </c>
      <c r="X66" s="159"/>
      <c r="Y66" s="158"/>
      <c r="Z66" s="262"/>
    </row>
    <row r="67" spans="22:26" x14ac:dyDescent="0.35">
      <c r="V67" s="235"/>
      <c r="W67" s="159" t="s">
        <v>937</v>
      </c>
      <c r="X67" s="159"/>
      <c r="Y67" s="158"/>
      <c r="Z67" s="262"/>
    </row>
    <row r="68" spans="22:26" x14ac:dyDescent="0.35">
      <c r="V68" s="235"/>
      <c r="W68" s="159" t="s">
        <v>938</v>
      </c>
      <c r="X68" s="159"/>
      <c r="Y68" s="158"/>
      <c r="Z68" s="262"/>
    </row>
    <row r="69" spans="22:26" x14ac:dyDescent="0.35">
      <c r="V69" s="235"/>
      <c r="W69" s="159" t="s">
        <v>939</v>
      </c>
      <c r="X69" s="159"/>
      <c r="Y69" s="158"/>
      <c r="Z69" s="262"/>
    </row>
    <row r="70" spans="22:26" x14ac:dyDescent="0.35">
      <c r="V70" s="235"/>
      <c r="W70" s="159" t="s">
        <v>940</v>
      </c>
      <c r="X70" s="159"/>
      <c r="Y70" s="158"/>
      <c r="Z70" s="262"/>
    </row>
    <row r="71" spans="22:26" x14ac:dyDescent="0.35">
      <c r="V71" s="235"/>
      <c r="W71" s="159" t="s">
        <v>941</v>
      </c>
      <c r="X71" s="159"/>
      <c r="Y71" s="158"/>
      <c r="Z71" s="262"/>
    </row>
    <row r="72" spans="22:26" x14ac:dyDescent="0.35">
      <c r="V72" s="235"/>
      <c r="W72" s="159" t="s">
        <v>942</v>
      </c>
      <c r="X72" s="159"/>
      <c r="Y72" s="158"/>
      <c r="Z72" s="262"/>
    </row>
    <row r="73" spans="22:26" x14ac:dyDescent="0.35">
      <c r="V73" s="235"/>
      <c r="W73" s="159" t="s">
        <v>943</v>
      </c>
      <c r="X73" s="159"/>
      <c r="Y73" s="158"/>
      <c r="Z73" s="262"/>
    </row>
    <row r="74" spans="22:26" x14ac:dyDescent="0.35">
      <c r="V74" s="235"/>
      <c r="W74" s="159" t="s">
        <v>944</v>
      </c>
      <c r="X74" s="159"/>
      <c r="Y74" s="158"/>
      <c r="Z74" s="262"/>
    </row>
    <row r="75" spans="22:26" x14ac:dyDescent="0.35">
      <c r="V75" s="235"/>
      <c r="W75" s="159" t="s">
        <v>945</v>
      </c>
      <c r="X75" s="159"/>
      <c r="Y75" s="158"/>
      <c r="Z75" s="262"/>
    </row>
    <row r="76" spans="22:26" x14ac:dyDescent="0.35">
      <c r="V76" s="235"/>
      <c r="W76" s="159" t="s">
        <v>946</v>
      </c>
      <c r="X76" s="159"/>
      <c r="Y76" s="158"/>
      <c r="Z76" s="262"/>
    </row>
    <row r="77" spans="22:26" x14ac:dyDescent="0.35">
      <c r="V77" s="235"/>
      <c r="W77" s="159" t="s">
        <v>947</v>
      </c>
      <c r="X77" s="159"/>
      <c r="Y77" s="158"/>
      <c r="Z77" s="262"/>
    </row>
    <row r="78" spans="22:26" x14ac:dyDescent="0.35">
      <c r="V78" s="235"/>
      <c r="W78" s="159" t="s">
        <v>948</v>
      </c>
      <c r="X78" s="159"/>
      <c r="Y78" s="158"/>
      <c r="Z78" s="262"/>
    </row>
    <row r="79" spans="22:26" x14ac:dyDescent="0.35">
      <c r="V79" s="235"/>
      <c r="W79" s="159" t="s">
        <v>949</v>
      </c>
      <c r="X79" s="159"/>
      <c r="Y79" s="158"/>
      <c r="Z79" s="262"/>
    </row>
    <row r="80" spans="22:26" x14ac:dyDescent="0.35">
      <c r="V80" s="235"/>
      <c r="W80" s="159" t="s">
        <v>950</v>
      </c>
      <c r="X80" s="159"/>
      <c r="Y80" s="158"/>
      <c r="Z80" s="262"/>
    </row>
    <row r="81" spans="22:26" x14ac:dyDescent="0.35">
      <c r="V81" s="235"/>
      <c r="W81" s="159" t="s">
        <v>951</v>
      </c>
      <c r="X81" s="159"/>
      <c r="Y81" s="158"/>
      <c r="Z81" s="262"/>
    </row>
    <row r="82" spans="22:26" x14ac:dyDescent="0.35">
      <c r="V82" s="235"/>
      <c r="W82" s="159" t="s">
        <v>952</v>
      </c>
      <c r="X82" s="159"/>
      <c r="Y82" s="158"/>
      <c r="Z82" s="262"/>
    </row>
    <row r="83" spans="22:26" x14ac:dyDescent="0.35">
      <c r="V83" s="235"/>
      <c r="W83" s="159" t="s">
        <v>953</v>
      </c>
      <c r="X83" s="159"/>
      <c r="Y83" s="158"/>
      <c r="Z83" s="262"/>
    </row>
    <row r="84" spans="22:26" x14ac:dyDescent="0.35">
      <c r="V84" s="235"/>
      <c r="W84" s="159" t="s">
        <v>954</v>
      </c>
      <c r="X84" s="159"/>
      <c r="Y84" s="158"/>
      <c r="Z84" s="262"/>
    </row>
    <row r="85" spans="22:26" x14ac:dyDescent="0.35">
      <c r="V85" s="235"/>
      <c r="W85" s="159" t="s">
        <v>955</v>
      </c>
      <c r="X85" s="159"/>
      <c r="Y85" s="158"/>
      <c r="Z85" s="262"/>
    </row>
    <row r="86" spans="22:26" x14ac:dyDescent="0.35">
      <c r="V86" s="235"/>
      <c r="W86" s="159" t="s">
        <v>956</v>
      </c>
      <c r="X86" s="159"/>
      <c r="Y86" s="158"/>
      <c r="Z86" s="262"/>
    </row>
    <row r="87" spans="22:26" x14ac:dyDescent="0.35">
      <c r="V87" s="235"/>
      <c r="W87" s="159" t="s">
        <v>957</v>
      </c>
      <c r="X87" s="159"/>
      <c r="Y87" s="158"/>
      <c r="Z87" s="262"/>
    </row>
    <row r="88" spans="22:26" x14ac:dyDescent="0.35">
      <c r="V88" s="235"/>
      <c r="W88" s="159" t="s">
        <v>958</v>
      </c>
      <c r="X88" s="159"/>
      <c r="Y88" s="158"/>
      <c r="Z88" s="262"/>
    </row>
    <row r="89" spans="22:26" x14ac:dyDescent="0.35">
      <c r="V89" s="235"/>
      <c r="W89" s="159" t="s">
        <v>959</v>
      </c>
      <c r="X89" s="159"/>
      <c r="Y89" s="158"/>
      <c r="Z89" s="262"/>
    </row>
    <row r="90" spans="22:26" x14ac:dyDescent="0.35">
      <c r="V90" s="235"/>
      <c r="W90" s="159" t="s">
        <v>960</v>
      </c>
      <c r="X90" s="159"/>
      <c r="Y90" s="158"/>
      <c r="Z90" s="262"/>
    </row>
    <row r="91" spans="22:26" x14ac:dyDescent="0.35">
      <c r="V91" s="235"/>
      <c r="W91" s="159" t="s">
        <v>961</v>
      </c>
      <c r="X91" s="159"/>
      <c r="Y91" s="158"/>
      <c r="Z91" s="262"/>
    </row>
    <row r="92" spans="22:26" x14ac:dyDescent="0.35">
      <c r="V92" s="235"/>
      <c r="W92" s="159" t="s">
        <v>962</v>
      </c>
      <c r="X92" s="159"/>
      <c r="Y92" s="158"/>
      <c r="Z92" s="262"/>
    </row>
    <row r="93" spans="22:26" x14ac:dyDescent="0.35">
      <c r="V93" s="235"/>
      <c r="W93" s="159" t="s">
        <v>963</v>
      </c>
      <c r="X93" s="159"/>
      <c r="Y93" s="158"/>
      <c r="Z93" s="262"/>
    </row>
    <row r="94" spans="22:26" x14ac:dyDescent="0.35">
      <c r="V94" s="235"/>
      <c r="W94" s="159" t="s">
        <v>964</v>
      </c>
      <c r="X94" s="159"/>
      <c r="Y94" s="158"/>
      <c r="Z94" s="262"/>
    </row>
    <row r="95" spans="22:26" x14ac:dyDescent="0.35">
      <c r="V95" s="235"/>
      <c r="W95" s="159" t="s">
        <v>965</v>
      </c>
      <c r="X95" s="159"/>
      <c r="Y95" s="158"/>
      <c r="Z95" s="262"/>
    </row>
    <row r="96" spans="22:26" x14ac:dyDescent="0.35">
      <c r="V96" s="235"/>
      <c r="W96" s="159" t="s">
        <v>966</v>
      </c>
      <c r="X96" s="159"/>
      <c r="Y96" s="158"/>
      <c r="Z96" s="262"/>
    </row>
    <row r="97" spans="22:26" x14ac:dyDescent="0.35">
      <c r="V97" s="235"/>
      <c r="W97" s="159" t="s">
        <v>967</v>
      </c>
      <c r="X97" s="159"/>
      <c r="Y97" s="158"/>
      <c r="Z97" s="262"/>
    </row>
    <row r="98" spans="22:26" x14ac:dyDescent="0.35">
      <c r="V98" s="235"/>
      <c r="W98" s="159" t="s">
        <v>968</v>
      </c>
      <c r="X98" s="159"/>
      <c r="Y98" s="158"/>
      <c r="Z98" s="262"/>
    </row>
    <row r="99" spans="22:26" x14ac:dyDescent="0.35">
      <c r="V99" s="235"/>
      <c r="W99" s="159" t="s">
        <v>969</v>
      </c>
      <c r="X99" s="158"/>
      <c r="Y99" s="158"/>
      <c r="Z99" s="262"/>
    </row>
    <row r="100" spans="22:26" x14ac:dyDescent="0.35">
      <c r="V100" s="235"/>
      <c r="W100" s="159" t="s">
        <v>970</v>
      </c>
      <c r="X100" s="158"/>
      <c r="Y100" s="158"/>
      <c r="Z100" s="262"/>
    </row>
    <row r="101" spans="22:26" ht="15" thickBot="1" x14ac:dyDescent="0.4">
      <c r="V101" s="256"/>
      <c r="W101" s="551" t="s">
        <v>971</v>
      </c>
      <c r="X101" s="250"/>
      <c r="Y101" s="250"/>
      <c r="Z101" s="1136"/>
    </row>
  </sheetData>
  <sheetProtection algorithmName="SHA-512" hashValue="MJ4HgJQALpFJeolLduja2PZN6ADli+X8SFAEruqtNqVBsuC8PVYJ4j0uHz6rC/jJPO485CTAW7NgrrdvKR8W3w==" saltValue="24sa5alO0Efrau7W1kYljA==" spinCount="100000" sheet="1" objects="1" scenarios="1"/>
  <protectedRanges>
    <protectedRange sqref="S12:S55 K12:L55 N12:N55 F12:F55 H12:I55 A12:D55" name="Range1_1_1"/>
    <protectedRange sqref="K2 O6:T7" name="Range1"/>
  </protectedRanges>
  <mergeCells count="20">
    <mergeCell ref="C1:E1"/>
    <mergeCell ref="A1:B1"/>
    <mergeCell ref="D6:E7"/>
    <mergeCell ref="A2:E2"/>
    <mergeCell ref="A3:E3"/>
    <mergeCell ref="A4:E4"/>
    <mergeCell ref="P6:P7"/>
    <mergeCell ref="V10:Z10"/>
    <mergeCell ref="J2:J4"/>
    <mergeCell ref="D8:E8"/>
    <mergeCell ref="Q6:Q7"/>
    <mergeCell ref="R6:R7"/>
    <mergeCell ref="U6:U7"/>
    <mergeCell ref="N6:N7"/>
    <mergeCell ref="O6:O7"/>
    <mergeCell ref="T6:T7"/>
    <mergeCell ref="K2:T4"/>
    <mergeCell ref="S6:S7"/>
    <mergeCell ref="J6:L6"/>
    <mergeCell ref="J7:L7"/>
  </mergeCells>
  <phoneticPr fontId="10" type="noConversion"/>
  <conditionalFormatting sqref="G12:G55">
    <cfRule type="containsText" dxfId="40" priority="1" operator="containsText" text="Is the reporting period entered on the cover sheet?">
      <formula>NOT(ISERROR(SEARCH("Is the reporting period entered on the cover sheet?",G12)))</formula>
    </cfRule>
  </conditionalFormatting>
  <conditionalFormatting sqref="P12:P55">
    <cfRule type="colorScale" priority="2">
      <colorScale>
        <cfvo type="min"/>
        <cfvo type="percentile" val="50"/>
        <cfvo type="max"/>
        <color rgb="FF63BE7B"/>
        <color rgb="FFFFEB84"/>
        <color rgb="FFF8696B"/>
      </colorScale>
    </cfRule>
  </conditionalFormatting>
  <conditionalFormatting sqref="R12:R55">
    <cfRule type="cellIs" dxfId="39" priority="4" operator="equal">
      <formula>"Manually Select Scope -&gt;"</formula>
    </cfRule>
  </conditionalFormatting>
  <conditionalFormatting sqref="S12:S55">
    <cfRule type="expression" dxfId="38" priority="5">
      <formula>R12="Manually Select Scope -&gt;"</formula>
    </cfRule>
  </conditionalFormatting>
  <dataValidations count="4">
    <dataValidation type="list" allowBlank="1" showInputMessage="1" showErrorMessage="1" sqref="I12:I55" xr:uid="{564CB0B2-85F7-4721-AAA3-AF53B389DDC6}">
      <formula1>$Y$12:$Y$15</formula1>
    </dataValidation>
    <dataValidation type="list" allowBlank="1" showInputMessage="1" showErrorMessage="1" sqref="F12:F55" xr:uid="{B9D2BEB8-ECC8-446F-A08E-FF00FF16C7A4}">
      <formula1>$X$12:$X$24</formula1>
    </dataValidation>
    <dataValidation type="list" allowBlank="1" showInputMessage="1" showErrorMessage="1" sqref="R12:S55" xr:uid="{0CFAB667-BE6E-4C1F-84D3-5EC003F386B1}">
      <formula1>$Z$12:$Z$15</formula1>
    </dataValidation>
    <dataValidation type="decimal" allowBlank="1" showInputMessage="1" showErrorMessage="1" errorTitle="Number only" error="Enter a number only" sqref="C12:D55 H12:H55 K12:K55" xr:uid="{6C1648FD-1142-455A-B388-8C18DC941987}">
      <formula1>0</formula1>
      <formula2>1000000000</formula2>
    </dataValidation>
  </dataValidations>
  <hyperlinks>
    <hyperlink ref="J7" r:id="rId1" xr:uid="{23AC6156-BC0C-4CF4-A197-057D317DDBC5}"/>
    <hyperlink ref="C1:E1" r:id="rId2" display="A leak of 1 kg of a typical refrigerant can cause approximately the same environmental damage as driving a van 10,000 miles" xr:uid="{CDE1A4F5-B23B-4C23-837B-1D1CE71FC054}"/>
  </hyperlinks>
  <pageMargins left="0.7" right="0.7" top="0.75" bottom="0.75" header="0.3" footer="0.3"/>
  <pageSetup paperSize="9" orientation="portrait" horizontalDpi="360" verticalDpi="360"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FC72743C-192A-4417-B987-669DC0F8544F}">
          <x14:formula1>
            <xm:f>'Carbon factors'!$DL$7:$DL$96</xm:f>
          </x14:formula1>
          <xm:sqref>B12:B55</xm:sqref>
        </x14:dataValidation>
        <x14:dataValidation type="list" allowBlank="1" showInputMessage="1" showErrorMessage="1" xr:uid="{ECBAB3B6-DBC3-4228-B9E8-4F49BBE6583B}">
          <x14:formula1>
            <xm:f>Buildings!$B$9:$B$41</xm:f>
          </x14:formula1>
          <xm:sqref>A12:A55</xm:sqref>
        </x14:dataValidation>
        <x14:dataValidation type="list" allowBlank="1" showInputMessage="1" showErrorMessage="1" xr:uid="{657C97AF-E615-45E0-82A5-2D64E4C2BE9C}">
          <x14:formula1>
            <xm:f>'$ Conversion'!$A$9:$A$34</xm:f>
          </x14:formula1>
          <xm:sqref>L12:L55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CF334-15E0-4C9B-8F8B-9D4E59A234AD}">
  <sheetPr codeName="Sheet13">
    <tabColor rgb="FF00B050"/>
  </sheetPr>
  <dimension ref="A1:V57"/>
  <sheetViews>
    <sheetView topLeftCell="A10" zoomScale="80" zoomScaleNormal="80" workbookViewId="0">
      <selection activeCell="A4" sqref="A1:E4"/>
    </sheetView>
  </sheetViews>
  <sheetFormatPr defaultColWidth="17.26953125" defaultRowHeight="14.5" x14ac:dyDescent="0.35"/>
  <cols>
    <col min="1" max="1" width="45.453125" customWidth="1"/>
    <col min="2" max="2" width="40.7265625" customWidth="1"/>
    <col min="3" max="3" width="24" customWidth="1"/>
    <col min="4" max="4" width="24.1796875" customWidth="1"/>
    <col min="5" max="5" width="24.54296875" customWidth="1"/>
    <col min="6" max="6" width="37" customWidth="1"/>
    <col min="8" max="8" width="17.26953125" style="668"/>
    <col min="11" max="11" width="26" style="567" customWidth="1"/>
    <col min="12" max="12" width="30.7265625" customWidth="1"/>
    <col min="14" max="14" width="23.81640625" style="697" bestFit="1" customWidth="1"/>
    <col min="15" max="15" width="23.81640625" bestFit="1" customWidth="1"/>
    <col min="16" max="16" width="20.1796875" bestFit="1" customWidth="1"/>
    <col min="18" max="18" width="29.453125" style="567" customWidth="1"/>
    <col min="19" max="19" width="17.453125" hidden="1" customWidth="1"/>
    <col min="20" max="20" width="25.7265625" hidden="1" customWidth="1"/>
    <col min="21" max="21" width="19.453125" hidden="1" customWidth="1"/>
    <col min="22" max="22" width="59.1796875" hidden="1" customWidth="1"/>
  </cols>
  <sheetData>
    <row r="1" spans="1:22" ht="36.75" customHeight="1" thickBot="1" x14ac:dyDescent="0.4">
      <c r="A1" s="1790" t="s">
        <v>415</v>
      </c>
      <c r="B1" s="1791"/>
      <c r="C1" s="1913" t="s">
        <v>972</v>
      </c>
      <c r="D1" s="1914"/>
      <c r="E1" s="1915"/>
    </row>
    <row r="2" spans="1:22" ht="21.75" customHeight="1" x14ac:dyDescent="0.35">
      <c r="A2" s="1815" t="s">
        <v>973</v>
      </c>
      <c r="B2" s="1816"/>
      <c r="C2" s="1816"/>
      <c r="D2" s="1816"/>
      <c r="E2" s="1817"/>
      <c r="F2" s="4"/>
      <c r="G2" s="1880" t="s">
        <v>309</v>
      </c>
      <c r="H2" s="1768" t="s">
        <v>509</v>
      </c>
      <c r="I2" s="1769"/>
      <c r="J2" s="1769"/>
      <c r="K2" s="1769"/>
      <c r="L2" s="1769"/>
      <c r="M2" s="1769"/>
      <c r="N2" s="1769"/>
      <c r="O2" s="1769"/>
      <c r="P2" s="1769"/>
      <c r="Q2" s="1770"/>
    </row>
    <row r="3" spans="1:22" x14ac:dyDescent="0.35">
      <c r="A3" s="1818" t="s">
        <v>974</v>
      </c>
      <c r="B3" s="1819"/>
      <c r="C3" s="1819"/>
      <c r="D3" s="1819"/>
      <c r="E3" s="1820"/>
      <c r="F3" s="4"/>
      <c r="G3" s="1881"/>
      <c r="H3" s="1771"/>
      <c r="I3" s="1772"/>
      <c r="J3" s="1772"/>
      <c r="K3" s="1772"/>
      <c r="L3" s="1772"/>
      <c r="M3" s="1772"/>
      <c r="N3" s="1772"/>
      <c r="O3" s="1772"/>
      <c r="P3" s="1772"/>
      <c r="Q3" s="1773"/>
    </row>
    <row r="4" spans="1:22" ht="48.75" customHeight="1" thickBot="1" x14ac:dyDescent="0.4">
      <c r="A4" s="1821" t="s">
        <v>975</v>
      </c>
      <c r="B4" s="1822"/>
      <c r="C4" s="1822"/>
      <c r="D4" s="1822"/>
      <c r="E4" s="1823"/>
      <c r="F4" s="4"/>
      <c r="G4" s="1882"/>
      <c r="H4" s="1774"/>
      <c r="I4" s="1775"/>
      <c r="J4" s="1775"/>
      <c r="K4" s="1775"/>
      <c r="L4" s="1775"/>
      <c r="M4" s="1775"/>
      <c r="N4" s="1775"/>
      <c r="O4" s="1775"/>
      <c r="P4" s="1775"/>
      <c r="Q4" s="1776"/>
    </row>
    <row r="5" spans="1:22" ht="15.75" customHeight="1" thickBot="1" x14ac:dyDescent="0.4">
      <c r="A5" s="4"/>
      <c r="B5" s="4"/>
      <c r="C5" s="4"/>
      <c r="D5" s="4"/>
      <c r="E5" s="4"/>
      <c r="F5" s="214"/>
      <c r="G5" s="215"/>
      <c r="H5" s="693"/>
      <c r="I5" s="215"/>
      <c r="J5" s="215"/>
      <c r="K5" s="695"/>
      <c r="L5" s="215"/>
      <c r="M5" s="215"/>
      <c r="N5" s="693"/>
    </row>
    <row r="6" spans="1:22" ht="34.5" customHeight="1" thickBot="1" x14ac:dyDescent="0.4">
      <c r="A6" s="445" t="s">
        <v>206</v>
      </c>
      <c r="B6" s="571">
        <f>SUMIF(P14:P57, "Scope 3",O14:O57)/1000</f>
        <v>0</v>
      </c>
      <c r="C6" s="570" t="s">
        <v>976</v>
      </c>
      <c r="D6" s="1828" t="s">
        <v>977</v>
      </c>
      <c r="E6" s="1830"/>
      <c r="F6" s="214"/>
      <c r="G6" s="215"/>
      <c r="H6" s="693"/>
      <c r="I6" s="215"/>
      <c r="J6" s="215"/>
      <c r="K6" s="695"/>
      <c r="L6" s="215"/>
      <c r="M6" s="215"/>
      <c r="N6" s="693"/>
    </row>
    <row r="7" spans="1:22" ht="27" customHeight="1" x14ac:dyDescent="0.35">
      <c r="A7" s="1910" t="s">
        <v>978</v>
      </c>
      <c r="B7" s="446">
        <f>SUMIF(B14:B57, "Bottled",M14:M57)</f>
        <v>0</v>
      </c>
      <c r="C7" s="276" t="s">
        <v>979</v>
      </c>
      <c r="D7" s="1688" t="s">
        <v>980</v>
      </c>
      <c r="E7" s="1690"/>
      <c r="F7" s="214"/>
      <c r="G7" s="215"/>
      <c r="H7" s="693"/>
      <c r="I7" s="215"/>
      <c r="J7" s="215"/>
      <c r="K7" s="695"/>
      <c r="L7" s="215"/>
      <c r="M7" s="215"/>
      <c r="N7" s="693"/>
    </row>
    <row r="8" spans="1:22" ht="37.5" customHeight="1" x14ac:dyDescent="0.35">
      <c r="A8" s="1911"/>
      <c r="B8" s="447">
        <f>(SUMIF(B14:B57, "Local water supply network",M14:M57))+(SUMIF(B14:B57, "Well or borehole",M14:M57))+(SUMIF(B14:B57, "Rainwater collection",M14:M57))</f>
        <v>0</v>
      </c>
      <c r="C8" s="277" t="s">
        <v>981</v>
      </c>
      <c r="D8" s="1825"/>
      <c r="E8" s="1827"/>
      <c r="F8" s="214"/>
      <c r="G8" s="215"/>
      <c r="H8" s="693"/>
      <c r="I8" s="215"/>
      <c r="J8" s="215"/>
      <c r="K8" s="695"/>
      <c r="L8" s="215"/>
      <c r="M8" s="215"/>
      <c r="N8" s="693"/>
    </row>
    <row r="9" spans="1:22" ht="48" customHeight="1" thickBot="1" x14ac:dyDescent="0.4">
      <c r="A9" s="1912"/>
      <c r="B9" s="448">
        <f>SUMIF(B14:B57, "Water tanker delivery",M14:M57)</f>
        <v>0</v>
      </c>
      <c r="C9" s="278" t="s">
        <v>982</v>
      </c>
      <c r="D9" s="1691"/>
      <c r="E9" s="1693"/>
      <c r="F9" s="214"/>
      <c r="G9" s="215"/>
      <c r="H9" s="693"/>
      <c r="I9" s="215"/>
      <c r="J9" s="215"/>
      <c r="K9" s="695"/>
      <c r="L9" s="215"/>
      <c r="M9" s="215"/>
      <c r="N9" s="693"/>
    </row>
    <row r="10" spans="1:22" ht="67.5" customHeight="1" thickBot="1" x14ac:dyDescent="0.4">
      <c r="A10" s="465" t="s">
        <v>516</v>
      </c>
      <c r="B10" s="559" t="str">
        <f>IFERROR((SUM(G14:G57))/(SUM(E14:E58)*3),"")</f>
        <v/>
      </c>
      <c r="C10" s="572" t="s">
        <v>517</v>
      </c>
      <c r="D10" s="1828" t="s">
        <v>647</v>
      </c>
      <c r="E10" s="1830"/>
      <c r="F10" s="214"/>
      <c r="G10" s="215"/>
      <c r="H10" s="693"/>
      <c r="I10" s="215"/>
      <c r="J10" s="215"/>
      <c r="K10" s="695"/>
      <c r="L10" s="215"/>
      <c r="M10" s="215"/>
      <c r="N10" s="693"/>
    </row>
    <row r="11" spans="1:22" ht="15" thickBot="1" x14ac:dyDescent="0.4">
      <c r="G11" s="668"/>
      <c r="H11"/>
      <c r="J11" s="567"/>
      <c r="K11"/>
      <c r="M11" s="668"/>
      <c r="N11"/>
      <c r="Q11" s="696"/>
      <c r="R11"/>
    </row>
    <row r="12" spans="1:22" s="4" customFormat="1" ht="38.25" customHeight="1" x14ac:dyDescent="0.45">
      <c r="A12" s="171" t="s">
        <v>983</v>
      </c>
      <c r="B12" s="475" t="s">
        <v>984</v>
      </c>
      <c r="C12" s="171" t="s">
        <v>985</v>
      </c>
      <c r="D12" s="171" t="s">
        <v>986</v>
      </c>
      <c r="E12" s="171" t="s">
        <v>987</v>
      </c>
      <c r="F12" s="171" t="s">
        <v>535</v>
      </c>
      <c r="G12" s="661" t="s">
        <v>536</v>
      </c>
      <c r="H12" s="171" t="s">
        <v>537</v>
      </c>
      <c r="I12" s="171" t="s">
        <v>142</v>
      </c>
      <c r="J12" s="1362" t="s">
        <v>538</v>
      </c>
      <c r="K12" s="247" t="s">
        <v>619</v>
      </c>
      <c r="L12" s="233" t="s">
        <v>988</v>
      </c>
      <c r="M12" s="698" t="s">
        <v>989</v>
      </c>
      <c r="N12" s="475" t="s">
        <v>990</v>
      </c>
      <c r="O12" s="171" t="s">
        <v>543</v>
      </c>
      <c r="P12" s="234" t="s">
        <v>544</v>
      </c>
      <c r="Q12" s="1363" t="s">
        <v>546</v>
      </c>
      <c r="S12" s="1907" t="s">
        <v>325</v>
      </c>
      <c r="T12" s="1908"/>
      <c r="U12" s="1908"/>
      <c r="V12" s="1909"/>
    </row>
    <row r="13" spans="1:22" ht="29.5" thickBot="1" x14ac:dyDescent="0.4">
      <c r="A13" s="190" t="s">
        <v>329</v>
      </c>
      <c r="B13" s="476" t="s">
        <v>329</v>
      </c>
      <c r="C13" s="190" t="s">
        <v>329</v>
      </c>
      <c r="D13" s="190" t="s">
        <v>329</v>
      </c>
      <c r="E13" s="190" t="s">
        <v>467</v>
      </c>
      <c r="F13" s="190" t="s">
        <v>329</v>
      </c>
      <c r="G13" s="665"/>
      <c r="H13" s="193" t="s">
        <v>467</v>
      </c>
      <c r="I13" s="190" t="s">
        <v>329</v>
      </c>
      <c r="J13" s="813" t="s">
        <v>556</v>
      </c>
      <c r="K13" s="248" t="s">
        <v>991</v>
      </c>
      <c r="L13" s="267" t="s">
        <v>992</v>
      </c>
      <c r="M13" s="699" t="s">
        <v>993</v>
      </c>
      <c r="N13" s="249" t="s">
        <v>614</v>
      </c>
      <c r="O13" s="193" t="s">
        <v>202</v>
      </c>
      <c r="P13" s="194" t="s">
        <v>561</v>
      </c>
      <c r="Q13" s="672" t="s">
        <v>556</v>
      </c>
      <c r="R13"/>
      <c r="S13" s="830" t="s">
        <v>533</v>
      </c>
      <c r="T13" s="831" t="s">
        <v>994</v>
      </c>
      <c r="U13" s="831" t="s">
        <v>995</v>
      </c>
      <c r="V13" s="832" t="s">
        <v>535</v>
      </c>
    </row>
    <row r="14" spans="1:22" x14ac:dyDescent="0.35">
      <c r="A14" s="897"/>
      <c r="B14" s="578" t="s">
        <v>1001</v>
      </c>
      <c r="C14" s="197"/>
      <c r="D14" s="578"/>
      <c r="E14" s="576"/>
      <c r="F14" s="197"/>
      <c r="G14" s="500" t="str" cm="1">
        <f t="array" ref="G14">IFERROR((_xlfn.IFS(F14=$V$14,"3",F14=$V$15,"2",F14=$V$16,"1",F14=$V$17,"1"))*E14,"")</f>
        <v/>
      </c>
      <c r="H14" s="199"/>
      <c r="I14" s="197"/>
      <c r="J14" s="589" t="str">
        <f>IFERROR(H14/VLOOKUP(I14,'$ Conversion'!$A$9:$B$40,2,0),"")</f>
        <v/>
      </c>
      <c r="K14" s="209"/>
      <c r="L14" s="1162" t="str">
        <f>IFERROR(VLOOKUP(D14,'Carbon factors'!$AK$7:$AL$10,2,0),"")</f>
        <v/>
      </c>
      <c r="M14" s="700" t="str">
        <f t="shared" ref="M14:M57" si="0">IFERROR((E14*L14),"")</f>
        <v/>
      </c>
      <c r="N14" s="216" t="s">
        <v>996</v>
      </c>
      <c r="O14" s="204" t="s">
        <v>996</v>
      </c>
      <c r="P14" s="205" t="s">
        <v>192</v>
      </c>
      <c r="Q14" s="814" t="str">
        <f>IFERROR((J14*E14),"")</f>
        <v/>
      </c>
      <c r="R14"/>
      <c r="S14" s="259" t="s">
        <v>997</v>
      </c>
      <c r="T14" s="163" t="s">
        <v>998</v>
      </c>
      <c r="U14" s="164" t="s">
        <v>999</v>
      </c>
      <c r="V14" s="163" t="s">
        <v>1000</v>
      </c>
    </row>
    <row r="15" spans="1:22" x14ac:dyDescent="0.35">
      <c r="A15" s="898"/>
      <c r="B15" s="579"/>
      <c r="C15" s="186"/>
      <c r="D15" s="579"/>
      <c r="E15" s="577"/>
      <c r="F15" s="186"/>
      <c r="G15" s="501" t="str" cm="1">
        <f t="array" ref="G15">IFERROR((_xlfn.IFS(F15=$V$14,"3",F15=$V$15,"2",F15=$V$16,"1",F15=$V$17,"1"))*E15,"")</f>
        <v/>
      </c>
      <c r="H15" s="168"/>
      <c r="I15" s="186"/>
      <c r="J15" s="584" t="str">
        <f>IFERROR(H15/VLOOKUP(I15,'$ Conversion'!$A$9:$B$40,2,0),"")</f>
        <v/>
      </c>
      <c r="K15" s="212"/>
      <c r="L15" s="1163" t="str">
        <f>IFERROR(VLOOKUP(D15,'Carbon factors'!$AK$7:$AL$10,2,0),"")</f>
        <v/>
      </c>
      <c r="M15" s="701" t="str">
        <f t="shared" si="0"/>
        <v/>
      </c>
      <c r="N15" s="217" t="s">
        <v>996</v>
      </c>
      <c r="O15" s="165" t="s">
        <v>996</v>
      </c>
      <c r="P15" s="181" t="s">
        <v>192</v>
      </c>
      <c r="Q15" s="678" t="str">
        <f t="shared" ref="Q15:Q57" si="1">IFERROR((J15*E15),"")</f>
        <v/>
      </c>
      <c r="R15"/>
      <c r="S15" s="261" t="s">
        <v>575</v>
      </c>
      <c r="T15" s="158" t="s">
        <v>1001</v>
      </c>
      <c r="U15" s="301" t="s">
        <v>1002</v>
      </c>
      <c r="V15" s="158" t="s">
        <v>872</v>
      </c>
    </row>
    <row r="16" spans="1:22" x14ac:dyDescent="0.35">
      <c r="A16" s="898"/>
      <c r="B16" s="579"/>
      <c r="C16" s="186"/>
      <c r="D16" s="579"/>
      <c r="E16" s="577"/>
      <c r="F16" s="186"/>
      <c r="G16" s="501" t="str" cm="1">
        <f t="array" ref="G16">IFERROR((_xlfn.IFS(F16=$V$14,"3",F16=$V$15,"2",F16=$V$16,"1",F16=$V$17,"1"))*E16,"")</f>
        <v/>
      </c>
      <c r="H16" s="168"/>
      <c r="I16" s="186"/>
      <c r="J16" s="584" t="str">
        <f>IFERROR(H16/VLOOKUP(I16,'$ Conversion'!$A$9:$B$40,2,0),"")</f>
        <v/>
      </c>
      <c r="K16" s="212"/>
      <c r="L16" s="1163" t="str">
        <f>IFERROR(VLOOKUP(D16,'Carbon factors'!$AK$7:$AL$10,2,0),"")</f>
        <v/>
      </c>
      <c r="M16" s="701" t="str">
        <f t="shared" si="0"/>
        <v/>
      </c>
      <c r="N16" s="217" t="s">
        <v>996</v>
      </c>
      <c r="O16" s="165" t="s">
        <v>996</v>
      </c>
      <c r="P16" s="181" t="s">
        <v>192</v>
      </c>
      <c r="Q16" s="678" t="str">
        <f t="shared" si="1"/>
        <v/>
      </c>
      <c r="R16"/>
      <c r="S16" s="263" t="s">
        <v>1003</v>
      </c>
      <c r="T16" s="158" t="s">
        <v>1004</v>
      </c>
      <c r="U16" s="301" t="s">
        <v>1005</v>
      </c>
      <c r="V16" s="158" t="s">
        <v>817</v>
      </c>
    </row>
    <row r="17" spans="1:22" x14ac:dyDescent="0.35">
      <c r="A17" s="898"/>
      <c r="B17" s="579"/>
      <c r="C17" s="186"/>
      <c r="D17" s="579"/>
      <c r="E17" s="577"/>
      <c r="F17" s="186"/>
      <c r="G17" s="501" t="str" cm="1">
        <f t="array" ref="G17">IFERROR((_xlfn.IFS(F17=$V$14,"3",F17=$V$15,"2",F17=$V$16,"1",F17=$V$17,"1"))*E17,"")</f>
        <v/>
      </c>
      <c r="H17" s="168"/>
      <c r="I17" s="186"/>
      <c r="J17" s="584" t="str">
        <f>IFERROR(H17/VLOOKUP(I17,'$ Conversion'!$A$9:$B$40,2,0),"")</f>
        <v/>
      </c>
      <c r="K17" s="212"/>
      <c r="L17" s="1163" t="str">
        <f>IFERROR(VLOOKUP(D17,'Carbon factors'!$AK$7:$AL$10,2,0),"")</f>
        <v/>
      </c>
      <c r="M17" s="701" t="str">
        <f t="shared" si="0"/>
        <v/>
      </c>
      <c r="N17" s="217" t="s">
        <v>996</v>
      </c>
      <c r="O17" s="165" t="s">
        <v>996</v>
      </c>
      <c r="P17" s="181" t="s">
        <v>192</v>
      </c>
      <c r="Q17" s="678" t="str">
        <f t="shared" si="1"/>
        <v/>
      </c>
      <c r="R17"/>
      <c r="S17" s="263" t="s">
        <v>1006</v>
      </c>
      <c r="T17" s="158" t="s">
        <v>1007</v>
      </c>
      <c r="U17" s="159" t="s">
        <v>1008</v>
      </c>
      <c r="V17" s="158" t="s">
        <v>820</v>
      </c>
    </row>
    <row r="18" spans="1:22" x14ac:dyDescent="0.35">
      <c r="A18" s="898"/>
      <c r="B18" s="579"/>
      <c r="C18" s="186"/>
      <c r="D18" s="579"/>
      <c r="E18" s="577"/>
      <c r="F18" s="186"/>
      <c r="G18" s="501" t="str" cm="1">
        <f t="array" ref="G18">IFERROR((_xlfn.IFS(F18=$V$14,"3",F18=$V$15,"2",F18=$V$16,"1",F18=$V$17,"1"))*E18,"")</f>
        <v/>
      </c>
      <c r="H18" s="168"/>
      <c r="I18" s="186"/>
      <c r="J18" s="584" t="str">
        <f>IFERROR(H18/VLOOKUP(I18,'$ Conversion'!$A$9:$B$40,2,0),"")</f>
        <v/>
      </c>
      <c r="K18" s="212"/>
      <c r="L18" s="1163" t="str">
        <f>IFERROR(VLOOKUP(D18,'Carbon factors'!$AK$7:$AL$10,2,0),"")</f>
        <v/>
      </c>
      <c r="M18" s="701" t="str">
        <f>IFERROR((E18*L18),"")</f>
        <v/>
      </c>
      <c r="N18" s="217" t="s">
        <v>996</v>
      </c>
      <c r="O18" s="165" t="s">
        <v>996</v>
      </c>
      <c r="P18" s="181" t="s">
        <v>192</v>
      </c>
      <c r="Q18" s="678" t="str">
        <f t="shared" si="1"/>
        <v/>
      </c>
      <c r="R18"/>
      <c r="S18" s="235"/>
      <c r="T18" s="158" t="s">
        <v>1009</v>
      </c>
      <c r="U18" s="158" t="s">
        <v>208</v>
      </c>
      <c r="V18" s="158"/>
    </row>
    <row r="19" spans="1:22" x14ac:dyDescent="0.35">
      <c r="A19" s="898"/>
      <c r="B19" s="579"/>
      <c r="C19" s="186"/>
      <c r="D19" s="579"/>
      <c r="E19" s="577"/>
      <c r="F19" s="186"/>
      <c r="G19" s="501" t="str" cm="1">
        <f t="array" ref="G19">IFERROR((_xlfn.IFS(F19=$V$14,"3",F19=$V$15,"2",F19=$V$16,"1",F19=$V$17,"1"))*E19,"")</f>
        <v/>
      </c>
      <c r="H19" s="168"/>
      <c r="I19" s="186"/>
      <c r="J19" s="584" t="str">
        <f>IFERROR(H19/VLOOKUP(I19,'$ Conversion'!$A$9:$B$40,2,0),"")</f>
        <v/>
      </c>
      <c r="K19" s="212"/>
      <c r="L19" s="1163" t="str">
        <f>IFERROR(VLOOKUP(D19,'Carbon factors'!$AK$7:$AL$10,2,0),"")</f>
        <v/>
      </c>
      <c r="M19" s="701" t="str">
        <f>IFERROR((E19*L19),"")</f>
        <v/>
      </c>
      <c r="N19" s="217" t="s">
        <v>996</v>
      </c>
      <c r="O19" s="165" t="s">
        <v>996</v>
      </c>
      <c r="P19" s="181" t="s">
        <v>192</v>
      </c>
      <c r="Q19" s="678" t="str">
        <f t="shared" si="1"/>
        <v/>
      </c>
      <c r="R19"/>
      <c r="S19" s="235"/>
      <c r="T19" s="158" t="s">
        <v>208</v>
      </c>
      <c r="U19" s="158" t="s">
        <v>1010</v>
      </c>
      <c r="V19" s="158"/>
    </row>
    <row r="20" spans="1:22" x14ac:dyDescent="0.35">
      <c r="A20" s="898"/>
      <c r="B20" s="579"/>
      <c r="C20" s="186"/>
      <c r="D20" s="579"/>
      <c r="E20" s="577"/>
      <c r="F20" s="186"/>
      <c r="G20" s="501" t="str" cm="1">
        <f t="array" ref="G20">IFERROR((_xlfn.IFS(F20=$V$14,"3",F20=$V$15,"2",F20=$V$16,"1",F20=$V$17,"1"))*E20,"")</f>
        <v/>
      </c>
      <c r="H20" s="168"/>
      <c r="I20" s="186"/>
      <c r="J20" s="584" t="str">
        <f>IFERROR(H20/VLOOKUP(I20,'$ Conversion'!$A$9:$B$40,2,0),"")</f>
        <v/>
      </c>
      <c r="K20" s="212"/>
      <c r="L20" s="1163" t="str">
        <f>IFERROR(VLOOKUP(D20,'Carbon factors'!$AK$7:$AL$10,2,0),"")</f>
        <v/>
      </c>
      <c r="M20" s="701" t="str">
        <f>IFERROR((E20*L20),"")</f>
        <v/>
      </c>
      <c r="N20" s="217" t="s">
        <v>996</v>
      </c>
      <c r="O20" s="165" t="s">
        <v>996</v>
      </c>
      <c r="P20" s="181" t="s">
        <v>192</v>
      </c>
      <c r="Q20" s="678" t="str">
        <f t="shared" si="1"/>
        <v/>
      </c>
      <c r="R20"/>
      <c r="S20" s="235"/>
      <c r="T20" s="158"/>
      <c r="U20" s="158"/>
      <c r="V20" s="158"/>
    </row>
    <row r="21" spans="1:22" x14ac:dyDescent="0.35">
      <c r="A21" s="898"/>
      <c r="B21" s="579"/>
      <c r="C21" s="186"/>
      <c r="D21" s="579"/>
      <c r="E21" s="577"/>
      <c r="F21" s="186"/>
      <c r="G21" s="501" t="str" cm="1">
        <f t="array" ref="G21">IFERROR((_xlfn.IFS(F21=$V$14,"3",F21=$V$15,"2",F21=$V$16,"1",F21=$V$17,"1"))*E21,"")</f>
        <v/>
      </c>
      <c r="H21" s="168"/>
      <c r="I21" s="186"/>
      <c r="J21" s="584" t="str">
        <f>IFERROR(H21/VLOOKUP(I21,'$ Conversion'!$A$9:$B$40,2,0),"")</f>
        <v/>
      </c>
      <c r="K21" s="212"/>
      <c r="L21" s="1163" t="str">
        <f>IFERROR(VLOOKUP(D21,'Carbon factors'!$AK$7:$AL$10,2,0),"")</f>
        <v/>
      </c>
      <c r="M21" s="701" t="str">
        <f>IFERROR((E21*L21),"")</f>
        <v/>
      </c>
      <c r="N21" s="217" t="s">
        <v>996</v>
      </c>
      <c r="O21" s="165" t="s">
        <v>996</v>
      </c>
      <c r="P21" s="181" t="s">
        <v>192</v>
      </c>
      <c r="Q21" s="678" t="str">
        <f t="shared" si="1"/>
        <v/>
      </c>
      <c r="R21"/>
      <c r="S21" s="235"/>
      <c r="T21" s="158"/>
      <c r="U21" s="158"/>
      <c r="V21" s="158"/>
    </row>
    <row r="22" spans="1:22" x14ac:dyDescent="0.35">
      <c r="A22" s="898"/>
      <c r="B22" s="579"/>
      <c r="C22" s="186"/>
      <c r="D22" s="579"/>
      <c r="E22" s="577"/>
      <c r="F22" s="186"/>
      <c r="G22" s="501" t="str" cm="1">
        <f t="array" ref="G22">IFERROR((_xlfn.IFS(F22=$V$14,"3",F22=$V$15,"2",F22=$V$16,"1",F22=$V$17,"1"))*E22,"")</f>
        <v/>
      </c>
      <c r="H22" s="168"/>
      <c r="I22" s="186"/>
      <c r="J22" s="584" t="str">
        <f>IFERROR(H22/VLOOKUP(I22,'$ Conversion'!$A$9:$B$40,2,0),"")</f>
        <v/>
      </c>
      <c r="K22" s="212"/>
      <c r="L22" s="1163" t="str">
        <f>IFERROR(VLOOKUP(D22,'Carbon factors'!$AK$7:$AL$10,2,0),"")</f>
        <v/>
      </c>
      <c r="M22" s="701" t="str">
        <f t="shared" si="0"/>
        <v/>
      </c>
      <c r="N22" s="217" t="s">
        <v>996</v>
      </c>
      <c r="O22" s="165" t="s">
        <v>996</v>
      </c>
      <c r="P22" s="181" t="s">
        <v>192</v>
      </c>
      <c r="Q22" s="678" t="str">
        <f t="shared" si="1"/>
        <v/>
      </c>
      <c r="R22"/>
      <c r="S22" s="235"/>
      <c r="T22" s="158"/>
      <c r="U22" s="158"/>
      <c r="V22" s="158"/>
    </row>
    <row r="23" spans="1:22" x14ac:dyDescent="0.35">
      <c r="A23" s="898"/>
      <c r="B23" s="579"/>
      <c r="C23" s="186"/>
      <c r="D23" s="579"/>
      <c r="E23" s="577"/>
      <c r="F23" s="186"/>
      <c r="G23" s="501" t="str" cm="1">
        <f t="array" ref="G23">IFERROR((_xlfn.IFS(F23=$V$14,"3",F23=$V$15,"2",F23=$V$16,"1",F23=$V$17,"1"))*E23,"")</f>
        <v/>
      </c>
      <c r="H23" s="168"/>
      <c r="I23" s="186"/>
      <c r="J23" s="584" t="str">
        <f>IFERROR(H23/VLOOKUP(I23,'$ Conversion'!$A$9:$B$40,2,0),"")</f>
        <v/>
      </c>
      <c r="K23" s="212"/>
      <c r="L23" s="1163" t="str">
        <f>IFERROR(VLOOKUP(D23,'Carbon factors'!$AK$7:$AL$10,2,0),"")</f>
        <v/>
      </c>
      <c r="M23" s="701" t="str">
        <f t="shared" si="0"/>
        <v/>
      </c>
      <c r="N23" s="217" t="s">
        <v>996</v>
      </c>
      <c r="O23" s="165" t="s">
        <v>996</v>
      </c>
      <c r="P23" s="181" t="s">
        <v>192</v>
      </c>
      <c r="Q23" s="678" t="str">
        <f t="shared" si="1"/>
        <v/>
      </c>
      <c r="R23"/>
      <c r="S23" s="235"/>
      <c r="T23" s="158"/>
      <c r="U23" s="158"/>
      <c r="V23" s="158"/>
    </row>
    <row r="24" spans="1:22" x14ac:dyDescent="0.35">
      <c r="A24" s="898"/>
      <c r="B24" s="579"/>
      <c r="C24" s="186"/>
      <c r="D24" s="579"/>
      <c r="E24" s="577"/>
      <c r="F24" s="186"/>
      <c r="G24" s="501" t="str" cm="1">
        <f t="array" ref="G24">IFERROR((_xlfn.IFS(F24=$V$14,"3",F24=$V$15,"2",F24=$V$16,"1",F24=$V$17,"1"))*E24,"")</f>
        <v/>
      </c>
      <c r="H24" s="168"/>
      <c r="I24" s="186"/>
      <c r="J24" s="584" t="str">
        <f>IFERROR(H24/VLOOKUP(I24,'$ Conversion'!$A$9:$B$40,2,0),"")</f>
        <v/>
      </c>
      <c r="K24" s="212"/>
      <c r="L24" s="1163" t="str">
        <f>IFERROR(VLOOKUP(D24,'Carbon factors'!$AK$7:$AL$10,2,0),"")</f>
        <v/>
      </c>
      <c r="M24" s="701" t="str">
        <f t="shared" si="0"/>
        <v/>
      </c>
      <c r="N24" s="217" t="s">
        <v>996</v>
      </c>
      <c r="O24" s="165" t="s">
        <v>996</v>
      </c>
      <c r="P24" s="181" t="s">
        <v>192</v>
      </c>
      <c r="Q24" s="678" t="str">
        <f t="shared" si="1"/>
        <v/>
      </c>
      <c r="R24"/>
      <c r="S24" s="235"/>
      <c r="T24" s="158"/>
      <c r="U24" s="158"/>
      <c r="V24" s="158"/>
    </row>
    <row r="25" spans="1:22" x14ac:dyDescent="0.35">
      <c r="A25" s="898"/>
      <c r="B25" s="579"/>
      <c r="C25" s="186"/>
      <c r="D25" s="579"/>
      <c r="E25" s="577"/>
      <c r="F25" s="186"/>
      <c r="G25" s="501" t="str" cm="1">
        <f t="array" ref="G25">IFERROR((_xlfn.IFS(F25=$V$14,"3",F25=$V$15,"2",F25=$V$16,"1",F25=$V$17,"1"))*E25,"")</f>
        <v/>
      </c>
      <c r="H25" s="168"/>
      <c r="I25" s="186"/>
      <c r="J25" s="584" t="str">
        <f>IFERROR(H25/VLOOKUP(I25,'$ Conversion'!$A$9:$B$40,2,0),"")</f>
        <v/>
      </c>
      <c r="K25" s="212"/>
      <c r="L25" s="1163" t="str">
        <f>IFERROR(VLOOKUP(D25,'Carbon factors'!$AK$7:$AL$10,2,0),"")</f>
        <v/>
      </c>
      <c r="M25" s="701" t="str">
        <f t="shared" si="0"/>
        <v/>
      </c>
      <c r="N25" s="217" t="s">
        <v>996</v>
      </c>
      <c r="O25" s="165" t="s">
        <v>996</v>
      </c>
      <c r="P25" s="181" t="s">
        <v>192</v>
      </c>
      <c r="Q25" s="678" t="str">
        <f t="shared" si="1"/>
        <v/>
      </c>
      <c r="R25"/>
      <c r="S25" s="235"/>
      <c r="T25" s="158"/>
      <c r="U25" s="158"/>
      <c r="V25" s="158"/>
    </row>
    <row r="26" spans="1:22" ht="15" thickBot="1" x14ac:dyDescent="0.4">
      <c r="A26" s="898"/>
      <c r="B26" s="579"/>
      <c r="C26" s="186"/>
      <c r="D26" s="579"/>
      <c r="E26" s="577"/>
      <c r="F26" s="186"/>
      <c r="G26" s="501" t="str" cm="1">
        <f t="array" ref="G26">IFERROR((_xlfn.IFS(F26=$V$14,"3",F26=$V$15,"2",F26=$V$16,"1",F26=$V$17,"1"))*E26,"")</f>
        <v/>
      </c>
      <c r="H26" s="168"/>
      <c r="I26" s="186"/>
      <c r="J26" s="584" t="str">
        <f>IFERROR(H26/VLOOKUP(I26,'$ Conversion'!$A$9:$B$40,2,0),"")</f>
        <v/>
      </c>
      <c r="K26" s="212"/>
      <c r="L26" s="1163" t="str">
        <f>IFERROR(VLOOKUP(D26,'Carbon factors'!$AK$7:$AL$10,2,0),"")</f>
        <v/>
      </c>
      <c r="M26" s="701" t="str">
        <f t="shared" si="0"/>
        <v/>
      </c>
      <c r="N26" s="217" t="s">
        <v>996</v>
      </c>
      <c r="O26" s="165" t="s">
        <v>996</v>
      </c>
      <c r="P26" s="181" t="s">
        <v>192</v>
      </c>
      <c r="Q26" s="678" t="str">
        <f t="shared" si="1"/>
        <v/>
      </c>
      <c r="R26"/>
      <c r="S26" s="256"/>
      <c r="T26" s="250"/>
      <c r="U26" s="250"/>
      <c r="V26" s="250"/>
    </row>
    <row r="27" spans="1:22" x14ac:dyDescent="0.35">
      <c r="A27" s="898"/>
      <c r="B27" s="579"/>
      <c r="C27" s="186"/>
      <c r="D27" s="579"/>
      <c r="E27" s="577"/>
      <c r="F27" s="186"/>
      <c r="G27" s="501" t="str" cm="1">
        <f t="array" ref="G27">IFERROR((_xlfn.IFS(F27=$V$14,"3",F27=$V$15,"2",F27=$V$16,"1",F27=$V$17,"1"))*E27,"")</f>
        <v/>
      </c>
      <c r="H27" s="168"/>
      <c r="I27" s="186"/>
      <c r="J27" s="584" t="str">
        <f>IFERROR(H27/VLOOKUP(I27,'$ Conversion'!$A$9:$B$40,2,0),"")</f>
        <v/>
      </c>
      <c r="K27" s="212"/>
      <c r="L27" s="1163" t="str">
        <f>IFERROR(VLOOKUP(D27,'Carbon factors'!$AK$7:$AL$10,2,0),"")</f>
        <v/>
      </c>
      <c r="M27" s="701" t="str">
        <f t="shared" si="0"/>
        <v/>
      </c>
      <c r="N27" s="217" t="s">
        <v>996</v>
      </c>
      <c r="O27" s="165" t="s">
        <v>996</v>
      </c>
      <c r="P27" s="181" t="s">
        <v>192</v>
      </c>
      <c r="Q27" s="678" t="str">
        <f t="shared" si="1"/>
        <v/>
      </c>
      <c r="R27"/>
    </row>
    <row r="28" spans="1:22" x14ac:dyDescent="0.35">
      <c r="A28" s="898"/>
      <c r="B28" s="579"/>
      <c r="C28" s="186"/>
      <c r="D28" s="579"/>
      <c r="E28" s="577"/>
      <c r="F28" s="186"/>
      <c r="G28" s="501" t="str" cm="1">
        <f t="array" ref="G28">IFERROR((_xlfn.IFS(F28=$V$14,"3",F28=$V$15,"2",F28=$V$16,"1",F28=$V$17,"1"))*E28,"")</f>
        <v/>
      </c>
      <c r="H28" s="168"/>
      <c r="I28" s="186"/>
      <c r="J28" s="584" t="str">
        <f>IFERROR(H28/VLOOKUP(I28,'$ Conversion'!$A$9:$B$40,2,0),"")</f>
        <v/>
      </c>
      <c r="K28" s="212"/>
      <c r="L28" s="1163" t="str">
        <f>IFERROR(VLOOKUP(D28,'Carbon factors'!$AK$7:$AL$10,2,0),"")</f>
        <v/>
      </c>
      <c r="M28" s="701" t="str">
        <f t="shared" si="0"/>
        <v/>
      </c>
      <c r="N28" s="217" t="s">
        <v>996</v>
      </c>
      <c r="O28" s="165" t="s">
        <v>996</v>
      </c>
      <c r="P28" s="181" t="s">
        <v>192</v>
      </c>
      <c r="Q28" s="678" t="str">
        <f t="shared" si="1"/>
        <v/>
      </c>
      <c r="R28"/>
    </row>
    <row r="29" spans="1:22" x14ac:dyDescent="0.35">
      <c r="A29" s="898"/>
      <c r="B29" s="579"/>
      <c r="C29" s="186"/>
      <c r="D29" s="579"/>
      <c r="E29" s="577"/>
      <c r="F29" s="186"/>
      <c r="G29" s="501" t="str" cm="1">
        <f t="array" ref="G29">IFERROR((_xlfn.IFS(F29=$V$14,"3",F29=$V$15,"2",F29=$V$16,"1",F29=$V$17,"1"))*E29,"")</f>
        <v/>
      </c>
      <c r="H29" s="168"/>
      <c r="I29" s="186"/>
      <c r="J29" s="584" t="str">
        <f>IFERROR(H29/VLOOKUP(I29,'$ Conversion'!$A$9:$B$40,2,0),"")</f>
        <v/>
      </c>
      <c r="K29" s="212"/>
      <c r="L29" s="1163" t="str">
        <f>IFERROR(VLOOKUP(D29,'Carbon factors'!$AK$7:$AL$10,2,0),"")</f>
        <v/>
      </c>
      <c r="M29" s="701" t="str">
        <f t="shared" si="0"/>
        <v/>
      </c>
      <c r="N29" s="217" t="s">
        <v>996</v>
      </c>
      <c r="O29" s="165" t="s">
        <v>996</v>
      </c>
      <c r="P29" s="181" t="s">
        <v>192</v>
      </c>
      <c r="Q29" s="678" t="str">
        <f t="shared" si="1"/>
        <v/>
      </c>
      <c r="R29"/>
    </row>
    <row r="30" spans="1:22" x14ac:dyDescent="0.35">
      <c r="A30" s="898"/>
      <c r="B30" s="579"/>
      <c r="C30" s="186"/>
      <c r="D30" s="579"/>
      <c r="E30" s="577"/>
      <c r="F30" s="186"/>
      <c r="G30" s="501" t="str" cm="1">
        <f t="array" ref="G30">IFERROR((_xlfn.IFS(F30=$V$14,"3",F30=$V$15,"2",F30=$V$16,"1",F30=$V$17,"1"))*E30,"")</f>
        <v/>
      </c>
      <c r="H30" s="168"/>
      <c r="I30" s="186"/>
      <c r="J30" s="584" t="str">
        <f>IFERROR(H30/VLOOKUP(I30,'$ Conversion'!$A$9:$B$40,2,0),"")</f>
        <v/>
      </c>
      <c r="K30" s="212"/>
      <c r="L30" s="1163" t="str">
        <f>IFERROR(VLOOKUP(D30,'Carbon factors'!$AK$7:$AL$10,2,0),"")</f>
        <v/>
      </c>
      <c r="M30" s="701" t="str">
        <f t="shared" si="0"/>
        <v/>
      </c>
      <c r="N30" s="217" t="s">
        <v>996</v>
      </c>
      <c r="O30" s="165" t="s">
        <v>996</v>
      </c>
      <c r="P30" s="181" t="s">
        <v>192</v>
      </c>
      <c r="Q30" s="678" t="str">
        <f t="shared" si="1"/>
        <v/>
      </c>
      <c r="R30"/>
    </row>
    <row r="31" spans="1:22" x14ac:dyDescent="0.35">
      <c r="A31" s="898"/>
      <c r="B31" s="579"/>
      <c r="C31" s="186"/>
      <c r="D31" s="579"/>
      <c r="E31" s="577"/>
      <c r="F31" s="186"/>
      <c r="G31" s="501" t="str" cm="1">
        <f t="array" ref="G31">IFERROR((_xlfn.IFS(F31=$V$14,"3",F31=$V$15,"2",F31=$V$16,"1",F31=$V$17,"1"))*E31,"")</f>
        <v/>
      </c>
      <c r="H31" s="168"/>
      <c r="I31" s="186"/>
      <c r="J31" s="584" t="str">
        <f>IFERROR(H31/VLOOKUP(I31,'$ Conversion'!$A$9:$B$40,2,0),"")</f>
        <v/>
      </c>
      <c r="K31" s="212"/>
      <c r="L31" s="1163" t="str">
        <f>IFERROR(VLOOKUP(D31,'Carbon factors'!$AK$7:$AL$10,2,0),"")</f>
        <v/>
      </c>
      <c r="M31" s="701" t="str">
        <f t="shared" si="0"/>
        <v/>
      </c>
      <c r="N31" s="217" t="s">
        <v>996</v>
      </c>
      <c r="O31" s="165" t="s">
        <v>996</v>
      </c>
      <c r="P31" s="181" t="s">
        <v>192</v>
      </c>
      <c r="Q31" s="678" t="str">
        <f t="shared" si="1"/>
        <v/>
      </c>
      <c r="R31"/>
    </row>
    <row r="32" spans="1:22" x14ac:dyDescent="0.35">
      <c r="A32" s="898"/>
      <c r="B32" s="579"/>
      <c r="C32" s="186"/>
      <c r="D32" s="579"/>
      <c r="E32" s="577"/>
      <c r="F32" s="186"/>
      <c r="G32" s="501" t="str" cm="1">
        <f t="array" ref="G32">IFERROR((_xlfn.IFS(F32=$V$14,"3",F32=$V$15,"2",F32=$V$16,"1",F32=$V$17,"1"))*E32,"")</f>
        <v/>
      </c>
      <c r="H32" s="168"/>
      <c r="I32" s="186"/>
      <c r="J32" s="584" t="str">
        <f>IFERROR(H32/VLOOKUP(I32,'$ Conversion'!$A$9:$B$40,2,0),"")</f>
        <v/>
      </c>
      <c r="K32" s="212"/>
      <c r="L32" s="1163" t="str">
        <f>IFERROR(VLOOKUP(D32,'Carbon factors'!$AK$7:$AL$10,2,0),"")</f>
        <v/>
      </c>
      <c r="M32" s="701" t="str">
        <f t="shared" si="0"/>
        <v/>
      </c>
      <c r="N32" s="217" t="s">
        <v>996</v>
      </c>
      <c r="O32" s="165" t="s">
        <v>996</v>
      </c>
      <c r="P32" s="181" t="s">
        <v>192</v>
      </c>
      <c r="Q32" s="678" t="str">
        <f t="shared" si="1"/>
        <v/>
      </c>
      <c r="R32"/>
    </row>
    <row r="33" spans="1:18" x14ac:dyDescent="0.35">
      <c r="A33" s="898"/>
      <c r="B33" s="579"/>
      <c r="C33" s="186"/>
      <c r="D33" s="579"/>
      <c r="E33" s="577"/>
      <c r="F33" s="186"/>
      <c r="G33" s="501" t="str" cm="1">
        <f t="array" ref="G33">IFERROR((_xlfn.IFS(F33=$V$14,"3",F33=$V$15,"2",F33=$V$16,"1",F33=$V$17,"1"))*E33,"")</f>
        <v/>
      </c>
      <c r="H33" s="168"/>
      <c r="I33" s="186"/>
      <c r="J33" s="584" t="str">
        <f>IFERROR(H33/VLOOKUP(I33,'$ Conversion'!$A$9:$B$40,2,0),"")</f>
        <v/>
      </c>
      <c r="K33" s="212"/>
      <c r="L33" s="1163" t="str">
        <f>IFERROR(VLOOKUP(D33,'Carbon factors'!$AK$7:$AL$10,2,0),"")</f>
        <v/>
      </c>
      <c r="M33" s="701" t="str">
        <f t="shared" si="0"/>
        <v/>
      </c>
      <c r="N33" s="217" t="s">
        <v>996</v>
      </c>
      <c r="O33" s="165" t="s">
        <v>996</v>
      </c>
      <c r="P33" s="181" t="s">
        <v>192</v>
      </c>
      <c r="Q33" s="678" t="str">
        <f t="shared" si="1"/>
        <v/>
      </c>
      <c r="R33"/>
    </row>
    <row r="34" spans="1:18" x14ac:dyDescent="0.35">
      <c r="A34" s="898"/>
      <c r="B34" s="579"/>
      <c r="C34" s="186"/>
      <c r="D34" s="579"/>
      <c r="E34" s="577"/>
      <c r="F34" s="186"/>
      <c r="G34" s="501" t="str" cm="1">
        <f t="array" ref="G34">IFERROR((_xlfn.IFS(F34=$V$14,"3",F34=$V$15,"2",F34=$V$16,"1",F34=$V$17,"1"))*E34,"")</f>
        <v/>
      </c>
      <c r="H34" s="168"/>
      <c r="I34" s="186"/>
      <c r="J34" s="584" t="str">
        <f>IFERROR(H34/VLOOKUP(I34,'$ Conversion'!$A$9:$B$40,2,0),"")</f>
        <v/>
      </c>
      <c r="K34" s="212"/>
      <c r="L34" s="1163" t="str">
        <f>IFERROR(VLOOKUP(D34,'Carbon factors'!$AK$7:$AL$10,2,0),"")</f>
        <v/>
      </c>
      <c r="M34" s="701" t="str">
        <f t="shared" si="0"/>
        <v/>
      </c>
      <c r="N34" s="217" t="s">
        <v>996</v>
      </c>
      <c r="O34" s="165" t="s">
        <v>996</v>
      </c>
      <c r="P34" s="181" t="s">
        <v>192</v>
      </c>
      <c r="Q34" s="678" t="str">
        <f t="shared" si="1"/>
        <v/>
      </c>
      <c r="R34"/>
    </row>
    <row r="35" spans="1:18" x14ac:dyDescent="0.35">
      <c r="A35" s="898"/>
      <c r="B35" s="579"/>
      <c r="C35" s="186"/>
      <c r="D35" s="579"/>
      <c r="E35" s="577"/>
      <c r="F35" s="186"/>
      <c r="G35" s="501" t="str" cm="1">
        <f t="array" ref="G35">IFERROR((_xlfn.IFS(F35=$V$14,"3",F35=$V$15,"2",F35=$V$16,"1",F35=$V$17,"1"))*E35,"")</f>
        <v/>
      </c>
      <c r="H35" s="168"/>
      <c r="I35" s="186"/>
      <c r="J35" s="584" t="str">
        <f>IFERROR(H35/VLOOKUP(I35,'$ Conversion'!$A$9:$B$40,2,0),"")</f>
        <v/>
      </c>
      <c r="K35" s="212"/>
      <c r="L35" s="1163" t="str">
        <f>IFERROR(VLOOKUP(D35,'Carbon factors'!$AK$7:$AL$10,2,0),"")</f>
        <v/>
      </c>
      <c r="M35" s="701" t="str">
        <f t="shared" si="0"/>
        <v/>
      </c>
      <c r="N35" s="217" t="s">
        <v>996</v>
      </c>
      <c r="O35" s="165" t="s">
        <v>996</v>
      </c>
      <c r="P35" s="181" t="s">
        <v>192</v>
      </c>
      <c r="Q35" s="678" t="str">
        <f t="shared" si="1"/>
        <v/>
      </c>
      <c r="R35"/>
    </row>
    <row r="36" spans="1:18" x14ac:dyDescent="0.35">
      <c r="A36" s="898"/>
      <c r="B36" s="579"/>
      <c r="C36" s="186"/>
      <c r="D36" s="579"/>
      <c r="E36" s="577"/>
      <c r="F36" s="186"/>
      <c r="G36" s="501" t="str" cm="1">
        <f t="array" ref="G36">IFERROR((_xlfn.IFS(F36=$V$14,"3",F36=$V$15,"2",F36=$V$16,"1",F36=$V$17,"1"))*E36,"")</f>
        <v/>
      </c>
      <c r="H36" s="168"/>
      <c r="I36" s="186"/>
      <c r="J36" s="584" t="str">
        <f>IFERROR(H36/VLOOKUP(I36,'$ Conversion'!$A$9:$B$40,2,0),"")</f>
        <v/>
      </c>
      <c r="K36" s="212"/>
      <c r="L36" s="1163" t="str">
        <f>IFERROR(VLOOKUP(D36,'Carbon factors'!$AK$7:$AL$10,2,0),"")</f>
        <v/>
      </c>
      <c r="M36" s="701" t="str">
        <f t="shared" si="0"/>
        <v/>
      </c>
      <c r="N36" s="217" t="s">
        <v>996</v>
      </c>
      <c r="O36" s="165" t="s">
        <v>996</v>
      </c>
      <c r="P36" s="181" t="s">
        <v>192</v>
      </c>
      <c r="Q36" s="678" t="str">
        <f t="shared" si="1"/>
        <v/>
      </c>
      <c r="R36"/>
    </row>
    <row r="37" spans="1:18" x14ac:dyDescent="0.35">
      <c r="A37" s="898"/>
      <c r="B37" s="579"/>
      <c r="C37" s="186"/>
      <c r="D37" s="579"/>
      <c r="E37" s="577"/>
      <c r="F37" s="186"/>
      <c r="G37" s="501" t="str" cm="1">
        <f t="array" ref="G37">IFERROR((_xlfn.IFS(F37=$V$14,"3",F37=$V$15,"2",F37=$V$16,"1",F37=$V$17,"1"))*E37,"")</f>
        <v/>
      </c>
      <c r="H37" s="168"/>
      <c r="I37" s="186"/>
      <c r="J37" s="584" t="str">
        <f>IFERROR(H37/VLOOKUP(I37,'$ Conversion'!$A$9:$B$40,2,0),"")</f>
        <v/>
      </c>
      <c r="K37" s="212"/>
      <c r="L37" s="1163" t="str">
        <f>IFERROR(VLOOKUP(D37,'Carbon factors'!$AK$7:$AL$10,2,0),"")</f>
        <v/>
      </c>
      <c r="M37" s="701" t="str">
        <f t="shared" si="0"/>
        <v/>
      </c>
      <c r="N37" s="217" t="s">
        <v>996</v>
      </c>
      <c r="O37" s="165" t="s">
        <v>996</v>
      </c>
      <c r="P37" s="181" t="s">
        <v>192</v>
      </c>
      <c r="Q37" s="678" t="str">
        <f t="shared" si="1"/>
        <v/>
      </c>
      <c r="R37"/>
    </row>
    <row r="38" spans="1:18" x14ac:dyDescent="0.35">
      <c r="A38" s="898"/>
      <c r="B38" s="579"/>
      <c r="C38" s="186"/>
      <c r="D38" s="579"/>
      <c r="E38" s="577"/>
      <c r="F38" s="186"/>
      <c r="G38" s="501" t="str" cm="1">
        <f t="array" ref="G38">IFERROR((_xlfn.IFS(F38=$V$14,"3",F38=$V$15,"2",F38=$V$16,"1",F38=$V$17,"1"))*E38,"")</f>
        <v/>
      </c>
      <c r="H38" s="168"/>
      <c r="I38" s="186"/>
      <c r="J38" s="584" t="str">
        <f>IFERROR(H38/VLOOKUP(I38,'$ Conversion'!$A$9:$B$40,2,0),"")</f>
        <v/>
      </c>
      <c r="K38" s="212"/>
      <c r="L38" s="1163" t="str">
        <f>IFERROR(VLOOKUP(D38,'Carbon factors'!$AK$7:$AL$10,2,0),"")</f>
        <v/>
      </c>
      <c r="M38" s="701" t="str">
        <f t="shared" si="0"/>
        <v/>
      </c>
      <c r="N38" s="217" t="s">
        <v>996</v>
      </c>
      <c r="O38" s="165" t="s">
        <v>996</v>
      </c>
      <c r="P38" s="181" t="s">
        <v>192</v>
      </c>
      <c r="Q38" s="678" t="str">
        <f t="shared" si="1"/>
        <v/>
      </c>
      <c r="R38"/>
    </row>
    <row r="39" spans="1:18" x14ac:dyDescent="0.35">
      <c r="A39" s="898"/>
      <c r="B39" s="579"/>
      <c r="C39" s="186"/>
      <c r="D39" s="579"/>
      <c r="E39" s="577"/>
      <c r="F39" s="186"/>
      <c r="G39" s="501" t="str" cm="1">
        <f t="array" ref="G39">IFERROR((_xlfn.IFS(F39=$V$14,"3",F39=$V$15,"2",F39=$V$16,"1",F39=$V$17,"1"))*E39,"")</f>
        <v/>
      </c>
      <c r="H39" s="168"/>
      <c r="I39" s="186"/>
      <c r="J39" s="584" t="str">
        <f>IFERROR(H39/VLOOKUP(I39,'$ Conversion'!$A$9:$B$40,2,0),"")</f>
        <v/>
      </c>
      <c r="K39" s="212"/>
      <c r="L39" s="1163" t="str">
        <f>IFERROR(VLOOKUP(D39,'Carbon factors'!$AK$7:$AL$10,2,0),"")</f>
        <v/>
      </c>
      <c r="M39" s="701" t="str">
        <f t="shared" si="0"/>
        <v/>
      </c>
      <c r="N39" s="217" t="s">
        <v>996</v>
      </c>
      <c r="O39" s="165" t="s">
        <v>996</v>
      </c>
      <c r="P39" s="181" t="s">
        <v>192</v>
      </c>
      <c r="Q39" s="678" t="str">
        <f t="shared" si="1"/>
        <v/>
      </c>
      <c r="R39"/>
    </row>
    <row r="40" spans="1:18" x14ac:dyDescent="0.35">
      <c r="A40" s="898"/>
      <c r="B40" s="579"/>
      <c r="C40" s="186"/>
      <c r="D40" s="579"/>
      <c r="E40" s="577"/>
      <c r="F40" s="186"/>
      <c r="G40" s="501" t="str" cm="1">
        <f t="array" ref="G40">IFERROR((_xlfn.IFS(F40=$V$14,"3",F40=$V$15,"2",F40=$V$16,"1",F40=$V$17,"1"))*E40,"")</f>
        <v/>
      </c>
      <c r="H40" s="168"/>
      <c r="I40" s="186"/>
      <c r="J40" s="584" t="str">
        <f>IFERROR(H40/VLOOKUP(I40,'$ Conversion'!$A$9:$B$40,2,0),"")</f>
        <v/>
      </c>
      <c r="K40" s="212"/>
      <c r="L40" s="1163" t="str">
        <f>IFERROR(VLOOKUP(D40,'Carbon factors'!$AK$7:$AL$10,2,0),"")</f>
        <v/>
      </c>
      <c r="M40" s="701" t="str">
        <f t="shared" si="0"/>
        <v/>
      </c>
      <c r="N40" s="217" t="s">
        <v>996</v>
      </c>
      <c r="O40" s="165" t="s">
        <v>996</v>
      </c>
      <c r="P40" s="181" t="s">
        <v>192</v>
      </c>
      <c r="Q40" s="678" t="str">
        <f t="shared" si="1"/>
        <v/>
      </c>
      <c r="R40"/>
    </row>
    <row r="41" spans="1:18" x14ac:dyDescent="0.35">
      <c r="A41" s="898"/>
      <c r="B41" s="579"/>
      <c r="C41" s="186"/>
      <c r="D41" s="579"/>
      <c r="E41" s="577"/>
      <c r="F41" s="186"/>
      <c r="G41" s="501" t="str" cm="1">
        <f t="array" ref="G41">IFERROR((_xlfn.IFS(F41=$V$14,"3",F41=$V$15,"2",F41=$V$16,"1",F41=$V$17,"1"))*E41,"")</f>
        <v/>
      </c>
      <c r="H41" s="168"/>
      <c r="I41" s="186"/>
      <c r="J41" s="584" t="str">
        <f>IFERROR(H41/VLOOKUP(I41,'$ Conversion'!$A$9:$B$40,2,0),"")</f>
        <v/>
      </c>
      <c r="K41" s="212"/>
      <c r="L41" s="1163" t="str">
        <f>IFERROR(VLOOKUP(D41,'Carbon factors'!$AK$7:$AL$10,2,0),"")</f>
        <v/>
      </c>
      <c r="M41" s="701" t="str">
        <f t="shared" si="0"/>
        <v/>
      </c>
      <c r="N41" s="217" t="s">
        <v>996</v>
      </c>
      <c r="O41" s="165" t="s">
        <v>996</v>
      </c>
      <c r="P41" s="181" t="s">
        <v>192</v>
      </c>
      <c r="Q41" s="678" t="str">
        <f t="shared" si="1"/>
        <v/>
      </c>
      <c r="R41"/>
    </row>
    <row r="42" spans="1:18" x14ac:dyDescent="0.35">
      <c r="A42" s="898"/>
      <c r="B42" s="579"/>
      <c r="C42" s="186"/>
      <c r="D42" s="579"/>
      <c r="E42" s="577"/>
      <c r="F42" s="186"/>
      <c r="G42" s="501" t="str" cm="1">
        <f t="array" ref="G42">IFERROR((_xlfn.IFS(F42=$V$14,"3",F42=$V$15,"2",F42=$V$16,"1",F42=$V$17,"1"))*E42,"")</f>
        <v/>
      </c>
      <c r="H42" s="168"/>
      <c r="I42" s="186"/>
      <c r="J42" s="584" t="str">
        <f>IFERROR(H42/VLOOKUP(I42,'$ Conversion'!$A$9:$B$40,2,0),"")</f>
        <v/>
      </c>
      <c r="K42" s="212"/>
      <c r="L42" s="1163" t="str">
        <f>IFERROR(VLOOKUP(D42,'Carbon factors'!$AK$7:$AL$10,2,0),"")</f>
        <v/>
      </c>
      <c r="M42" s="701" t="str">
        <f t="shared" si="0"/>
        <v/>
      </c>
      <c r="N42" s="217" t="s">
        <v>996</v>
      </c>
      <c r="O42" s="165" t="s">
        <v>996</v>
      </c>
      <c r="P42" s="181" t="s">
        <v>192</v>
      </c>
      <c r="Q42" s="678" t="str">
        <f t="shared" si="1"/>
        <v/>
      </c>
      <c r="R42"/>
    </row>
    <row r="43" spans="1:18" x14ac:dyDescent="0.35">
      <c r="A43" s="898"/>
      <c r="B43" s="579"/>
      <c r="C43" s="186"/>
      <c r="D43" s="579"/>
      <c r="E43" s="577"/>
      <c r="F43" s="186"/>
      <c r="G43" s="501" t="str" cm="1">
        <f t="array" ref="G43">IFERROR((_xlfn.IFS(F43=$V$14,"3",F43=$V$15,"2",F43=$V$16,"1",F43=$V$17,"1"))*E43,"")</f>
        <v/>
      </c>
      <c r="H43" s="168"/>
      <c r="I43" s="186"/>
      <c r="J43" s="584" t="str">
        <f>IFERROR(H43/VLOOKUP(I43,'$ Conversion'!$A$9:$B$40,2,0),"")</f>
        <v/>
      </c>
      <c r="K43" s="212"/>
      <c r="L43" s="1163" t="str">
        <f>IFERROR(VLOOKUP(D43,'Carbon factors'!$AK$7:$AL$10,2,0),"")</f>
        <v/>
      </c>
      <c r="M43" s="701" t="str">
        <f t="shared" si="0"/>
        <v/>
      </c>
      <c r="N43" s="217" t="s">
        <v>996</v>
      </c>
      <c r="O43" s="165" t="s">
        <v>996</v>
      </c>
      <c r="P43" s="181" t="s">
        <v>192</v>
      </c>
      <c r="Q43" s="678" t="str">
        <f t="shared" si="1"/>
        <v/>
      </c>
      <c r="R43"/>
    </row>
    <row r="44" spans="1:18" x14ac:dyDescent="0.35">
      <c r="A44" s="898"/>
      <c r="B44" s="579"/>
      <c r="C44" s="186"/>
      <c r="D44" s="579"/>
      <c r="E44" s="577"/>
      <c r="F44" s="186"/>
      <c r="G44" s="501" t="str" cm="1">
        <f t="array" ref="G44">IFERROR((_xlfn.IFS(F44=$V$14,"3",F44=$V$15,"2",F44=$V$16,"1",F44=$V$17,"1"))*E44,"")</f>
        <v/>
      </c>
      <c r="H44" s="168"/>
      <c r="I44" s="186"/>
      <c r="J44" s="584" t="str">
        <f>IFERROR(H44/VLOOKUP(I44,'$ Conversion'!$A$9:$B$40,2,0),"")</f>
        <v/>
      </c>
      <c r="K44" s="212"/>
      <c r="L44" s="1163" t="str">
        <f>IFERROR(VLOOKUP(D44,'Carbon factors'!$AK$7:$AL$10,2,0),"")</f>
        <v/>
      </c>
      <c r="M44" s="701" t="str">
        <f t="shared" si="0"/>
        <v/>
      </c>
      <c r="N44" s="217" t="s">
        <v>996</v>
      </c>
      <c r="O44" s="165" t="s">
        <v>996</v>
      </c>
      <c r="P44" s="181" t="s">
        <v>192</v>
      </c>
      <c r="Q44" s="678" t="str">
        <f t="shared" si="1"/>
        <v/>
      </c>
      <c r="R44"/>
    </row>
    <row r="45" spans="1:18" x14ac:dyDescent="0.35">
      <c r="A45" s="898"/>
      <c r="B45" s="579"/>
      <c r="C45" s="186"/>
      <c r="D45" s="579"/>
      <c r="E45" s="577"/>
      <c r="F45" s="186"/>
      <c r="G45" s="501" t="str" cm="1">
        <f t="array" ref="G45">IFERROR((_xlfn.IFS(F45=$V$14,"3",F45=$V$15,"2",F45=$V$16,"1",F45=$V$17,"1"))*E45,"")</f>
        <v/>
      </c>
      <c r="H45" s="168"/>
      <c r="I45" s="186"/>
      <c r="J45" s="584" t="str">
        <f>IFERROR(H45/VLOOKUP(I45,'$ Conversion'!$A$9:$B$40,2,0),"")</f>
        <v/>
      </c>
      <c r="K45" s="212"/>
      <c r="L45" s="1163" t="str">
        <f>IFERROR(VLOOKUP(D45,'Carbon factors'!$AK$7:$AL$10,2,0),"")</f>
        <v/>
      </c>
      <c r="M45" s="701" t="str">
        <f t="shared" si="0"/>
        <v/>
      </c>
      <c r="N45" s="217" t="s">
        <v>996</v>
      </c>
      <c r="O45" s="165" t="s">
        <v>996</v>
      </c>
      <c r="P45" s="181" t="s">
        <v>192</v>
      </c>
      <c r="Q45" s="678" t="str">
        <f t="shared" si="1"/>
        <v/>
      </c>
      <c r="R45"/>
    </row>
    <row r="46" spans="1:18" x14ac:dyDescent="0.35">
      <c r="A46" s="898"/>
      <c r="B46" s="579"/>
      <c r="C46" s="186"/>
      <c r="D46" s="579"/>
      <c r="E46" s="577"/>
      <c r="F46" s="186"/>
      <c r="G46" s="501" t="str" cm="1">
        <f t="array" ref="G46">IFERROR((_xlfn.IFS(F46=$V$14,"3",F46=$V$15,"2",F46=$V$16,"1",F46=$V$17,"1"))*E46,"")</f>
        <v/>
      </c>
      <c r="H46" s="168"/>
      <c r="I46" s="186"/>
      <c r="J46" s="584" t="str">
        <f>IFERROR(H46/VLOOKUP(I46,'$ Conversion'!$A$9:$B$40,2,0),"")</f>
        <v/>
      </c>
      <c r="K46" s="212"/>
      <c r="L46" s="1163" t="str">
        <f>IFERROR(VLOOKUP(D46,'Carbon factors'!$AK$7:$AL$10,2,0),"")</f>
        <v/>
      </c>
      <c r="M46" s="701" t="str">
        <f t="shared" si="0"/>
        <v/>
      </c>
      <c r="N46" s="217" t="s">
        <v>996</v>
      </c>
      <c r="O46" s="165" t="s">
        <v>996</v>
      </c>
      <c r="P46" s="181" t="s">
        <v>192</v>
      </c>
      <c r="Q46" s="678" t="str">
        <f t="shared" si="1"/>
        <v/>
      </c>
      <c r="R46"/>
    </row>
    <row r="47" spans="1:18" x14ac:dyDescent="0.35">
      <c r="A47" s="898"/>
      <c r="B47" s="579"/>
      <c r="C47" s="186"/>
      <c r="D47" s="579"/>
      <c r="E47" s="577"/>
      <c r="F47" s="186"/>
      <c r="G47" s="501" t="str" cm="1">
        <f t="array" ref="G47">IFERROR((_xlfn.IFS(F47=$V$14,"3",F47=$V$15,"2",F47=$V$16,"1",F47=$V$17,"1"))*E47,"")</f>
        <v/>
      </c>
      <c r="H47" s="168"/>
      <c r="I47" s="186"/>
      <c r="J47" s="584" t="str">
        <f>IFERROR(H47/VLOOKUP(I47,'$ Conversion'!$A$9:$B$40,2,0),"")</f>
        <v/>
      </c>
      <c r="K47" s="212"/>
      <c r="L47" s="1163" t="str">
        <f>IFERROR(VLOOKUP(D47,'Carbon factors'!$AK$7:$AL$10,2,0),"")</f>
        <v/>
      </c>
      <c r="M47" s="701" t="str">
        <f t="shared" si="0"/>
        <v/>
      </c>
      <c r="N47" s="217" t="s">
        <v>996</v>
      </c>
      <c r="O47" s="165" t="s">
        <v>996</v>
      </c>
      <c r="P47" s="181" t="s">
        <v>192</v>
      </c>
      <c r="Q47" s="678" t="str">
        <f t="shared" si="1"/>
        <v/>
      </c>
      <c r="R47"/>
    </row>
    <row r="48" spans="1:18" x14ac:dyDescent="0.35">
      <c r="A48" s="898"/>
      <c r="B48" s="579"/>
      <c r="C48" s="186"/>
      <c r="D48" s="579"/>
      <c r="E48" s="577"/>
      <c r="F48" s="186"/>
      <c r="G48" s="501" t="str" cm="1">
        <f t="array" ref="G48">IFERROR((_xlfn.IFS(F48=$V$14,"3",F48=$V$15,"2",F48=$V$16,"1",F48=$V$17,"1"))*E48,"")</f>
        <v/>
      </c>
      <c r="H48" s="168"/>
      <c r="I48" s="186"/>
      <c r="J48" s="584" t="str">
        <f>IFERROR(H48/VLOOKUP(I48,'$ Conversion'!$A$9:$B$40,2,0),"")</f>
        <v/>
      </c>
      <c r="K48" s="212"/>
      <c r="L48" s="1163" t="str">
        <f>IFERROR(VLOOKUP(D48,'Carbon factors'!$AK$7:$AL$10,2,0),"")</f>
        <v/>
      </c>
      <c r="M48" s="701" t="str">
        <f t="shared" si="0"/>
        <v/>
      </c>
      <c r="N48" s="217" t="s">
        <v>996</v>
      </c>
      <c r="O48" s="165" t="s">
        <v>996</v>
      </c>
      <c r="P48" s="181" t="s">
        <v>192</v>
      </c>
      <c r="Q48" s="678" t="str">
        <f t="shared" si="1"/>
        <v/>
      </c>
      <c r="R48"/>
    </row>
    <row r="49" spans="1:18" x14ac:dyDescent="0.35">
      <c r="A49" s="898"/>
      <c r="B49" s="579"/>
      <c r="C49" s="186"/>
      <c r="D49" s="579"/>
      <c r="E49" s="577"/>
      <c r="F49" s="186"/>
      <c r="G49" s="501" t="str" cm="1">
        <f t="array" ref="G49">IFERROR((_xlfn.IFS(F49=$V$14,"3",F49=$V$15,"2",F49=$V$16,"1",F49=$V$17,"1"))*E49,"")</f>
        <v/>
      </c>
      <c r="H49" s="168"/>
      <c r="I49" s="186"/>
      <c r="J49" s="584" t="str">
        <f>IFERROR(H49/VLOOKUP(I49,'$ Conversion'!$A$9:$B$40,2,0),"")</f>
        <v/>
      </c>
      <c r="K49" s="212"/>
      <c r="L49" s="1163" t="str">
        <f>IFERROR(VLOOKUP(D49,'Carbon factors'!$AK$7:$AL$10,2,0),"")</f>
        <v/>
      </c>
      <c r="M49" s="701" t="str">
        <f t="shared" si="0"/>
        <v/>
      </c>
      <c r="N49" s="217" t="s">
        <v>996</v>
      </c>
      <c r="O49" s="165" t="s">
        <v>996</v>
      </c>
      <c r="P49" s="181" t="s">
        <v>192</v>
      </c>
      <c r="Q49" s="678" t="str">
        <f t="shared" si="1"/>
        <v/>
      </c>
      <c r="R49"/>
    </row>
    <row r="50" spans="1:18" x14ac:dyDescent="0.35">
      <c r="A50" s="898"/>
      <c r="B50" s="579"/>
      <c r="C50" s="186"/>
      <c r="D50" s="579"/>
      <c r="E50" s="577"/>
      <c r="F50" s="186"/>
      <c r="G50" s="501" t="str" cm="1">
        <f t="array" ref="G50">IFERROR((_xlfn.IFS(F50=$V$14,"3",F50=$V$15,"2",F50=$V$16,"1",F50=$V$17,"1"))*E50,"")</f>
        <v/>
      </c>
      <c r="H50" s="168"/>
      <c r="I50" s="186"/>
      <c r="J50" s="584" t="str">
        <f>IFERROR(H50/VLOOKUP(I50,'$ Conversion'!$A$9:$B$40,2,0),"")</f>
        <v/>
      </c>
      <c r="K50" s="212"/>
      <c r="L50" s="1163" t="str">
        <f>IFERROR(VLOOKUP(D50,'Carbon factors'!$AK$7:$AL$10,2,0),"")</f>
        <v/>
      </c>
      <c r="M50" s="701" t="str">
        <f t="shared" si="0"/>
        <v/>
      </c>
      <c r="N50" s="217" t="s">
        <v>996</v>
      </c>
      <c r="O50" s="165" t="s">
        <v>996</v>
      </c>
      <c r="P50" s="181" t="s">
        <v>192</v>
      </c>
      <c r="Q50" s="678" t="str">
        <f t="shared" si="1"/>
        <v/>
      </c>
      <c r="R50"/>
    </row>
    <row r="51" spans="1:18" x14ac:dyDescent="0.35">
      <c r="A51" s="898"/>
      <c r="B51" s="579"/>
      <c r="C51" s="186"/>
      <c r="D51" s="579"/>
      <c r="E51" s="577"/>
      <c r="F51" s="186"/>
      <c r="G51" s="501" t="str" cm="1">
        <f t="array" ref="G51">IFERROR((_xlfn.IFS(F51=$V$14,"3",F51=$V$15,"2",F51=$V$16,"1",F51=$V$17,"1"))*E51,"")</f>
        <v/>
      </c>
      <c r="H51" s="168"/>
      <c r="I51" s="186"/>
      <c r="J51" s="584" t="str">
        <f>IFERROR(H51/VLOOKUP(I51,'$ Conversion'!$A$9:$B$40,2,0),"")</f>
        <v/>
      </c>
      <c r="K51" s="212"/>
      <c r="L51" s="1163" t="str">
        <f>IFERROR(VLOOKUP(D51,'Carbon factors'!$AK$7:$AL$10,2,0),"")</f>
        <v/>
      </c>
      <c r="M51" s="701" t="str">
        <f t="shared" si="0"/>
        <v/>
      </c>
      <c r="N51" s="217" t="s">
        <v>996</v>
      </c>
      <c r="O51" s="165" t="s">
        <v>996</v>
      </c>
      <c r="P51" s="181" t="s">
        <v>192</v>
      </c>
      <c r="Q51" s="678" t="str">
        <f t="shared" si="1"/>
        <v/>
      </c>
      <c r="R51"/>
    </row>
    <row r="52" spans="1:18" x14ac:dyDescent="0.35">
      <c r="A52" s="898"/>
      <c r="B52" s="579"/>
      <c r="C52" s="186"/>
      <c r="D52" s="579"/>
      <c r="E52" s="577"/>
      <c r="F52" s="186"/>
      <c r="G52" s="501" t="str" cm="1">
        <f t="array" ref="G52">IFERROR((_xlfn.IFS(F52=$V$14,"3",F52=$V$15,"2",F52=$V$16,"1",F52=$V$17,"1"))*E52,"")</f>
        <v/>
      </c>
      <c r="H52" s="168"/>
      <c r="I52" s="186"/>
      <c r="J52" s="584" t="str">
        <f>IFERROR(H52/VLOOKUP(I52,'$ Conversion'!$A$9:$B$40,2,0),"")</f>
        <v/>
      </c>
      <c r="K52" s="212"/>
      <c r="L52" s="1163" t="str">
        <f>IFERROR(VLOOKUP(D52,'Carbon factors'!$AK$7:$AL$10,2,0),"")</f>
        <v/>
      </c>
      <c r="M52" s="701" t="str">
        <f t="shared" si="0"/>
        <v/>
      </c>
      <c r="N52" s="217" t="s">
        <v>996</v>
      </c>
      <c r="O52" s="165" t="s">
        <v>996</v>
      </c>
      <c r="P52" s="181" t="s">
        <v>192</v>
      </c>
      <c r="Q52" s="678" t="str">
        <f t="shared" si="1"/>
        <v/>
      </c>
      <c r="R52"/>
    </row>
    <row r="53" spans="1:18" x14ac:dyDescent="0.35">
      <c r="A53" s="898"/>
      <c r="B53" s="579"/>
      <c r="C53" s="186"/>
      <c r="D53" s="579"/>
      <c r="E53" s="577"/>
      <c r="F53" s="186"/>
      <c r="G53" s="501" t="str" cm="1">
        <f t="array" ref="G53">IFERROR((_xlfn.IFS(F53=$V$14,"3",F53=$V$15,"2",F53=$V$16,"1",F53=$V$17,"1"))*E53,"")</f>
        <v/>
      </c>
      <c r="H53" s="168"/>
      <c r="I53" s="186"/>
      <c r="J53" s="584" t="str">
        <f>IFERROR(H53/VLOOKUP(I53,'$ Conversion'!$A$9:$B$40,2,0),"")</f>
        <v/>
      </c>
      <c r="K53" s="212"/>
      <c r="L53" s="1163" t="str">
        <f>IFERROR(VLOOKUP(D53,'Carbon factors'!$AK$7:$AL$10,2,0),"")</f>
        <v/>
      </c>
      <c r="M53" s="701" t="str">
        <f t="shared" si="0"/>
        <v/>
      </c>
      <c r="N53" s="217" t="s">
        <v>996</v>
      </c>
      <c r="O53" s="165" t="s">
        <v>996</v>
      </c>
      <c r="P53" s="181" t="s">
        <v>192</v>
      </c>
      <c r="Q53" s="678" t="str">
        <f t="shared" si="1"/>
        <v/>
      </c>
      <c r="R53"/>
    </row>
    <row r="54" spans="1:18" x14ac:dyDescent="0.35">
      <c r="A54" s="898"/>
      <c r="B54" s="579"/>
      <c r="C54" s="186"/>
      <c r="D54" s="579"/>
      <c r="E54" s="577"/>
      <c r="F54" s="186"/>
      <c r="G54" s="501" t="str" cm="1">
        <f t="array" ref="G54">IFERROR((_xlfn.IFS(F54=$V$14,"3",F54=$V$15,"2",F54=$V$16,"1",F54=$V$17,"1"))*E54,"")</f>
        <v/>
      </c>
      <c r="H54" s="168"/>
      <c r="I54" s="186"/>
      <c r="J54" s="584" t="str">
        <f>IFERROR(H54/VLOOKUP(I54,'$ Conversion'!$A$9:$B$40,2,0),"")</f>
        <v/>
      </c>
      <c r="K54" s="212"/>
      <c r="L54" s="1163" t="str">
        <f>IFERROR(VLOOKUP(D54,'Carbon factors'!$AK$7:$AL$10,2,0),"")</f>
        <v/>
      </c>
      <c r="M54" s="701" t="str">
        <f t="shared" si="0"/>
        <v/>
      </c>
      <c r="N54" s="217" t="s">
        <v>996</v>
      </c>
      <c r="O54" s="165" t="s">
        <v>996</v>
      </c>
      <c r="P54" s="181" t="s">
        <v>192</v>
      </c>
      <c r="Q54" s="678" t="str">
        <f t="shared" si="1"/>
        <v/>
      </c>
      <c r="R54"/>
    </row>
    <row r="55" spans="1:18" x14ac:dyDescent="0.35">
      <c r="A55" s="898"/>
      <c r="B55" s="579"/>
      <c r="C55" s="186"/>
      <c r="D55" s="579"/>
      <c r="E55" s="577"/>
      <c r="F55" s="186"/>
      <c r="G55" s="501" t="str" cm="1">
        <f t="array" ref="G55">IFERROR((_xlfn.IFS(F55=$V$14,"3",F55=$V$15,"2",F55=$V$16,"1",F55=$V$17,"1"))*E55,"")</f>
        <v/>
      </c>
      <c r="H55" s="168"/>
      <c r="I55" s="186"/>
      <c r="J55" s="584" t="str">
        <f>IFERROR(H55/VLOOKUP(I55,'$ Conversion'!$A$9:$B$40,2,0),"")</f>
        <v/>
      </c>
      <c r="K55" s="212"/>
      <c r="L55" s="1163" t="str">
        <f>IFERROR(VLOOKUP(D55,'Carbon factors'!$AK$7:$AL$10,2,0),"")</f>
        <v/>
      </c>
      <c r="M55" s="701" t="str">
        <f t="shared" si="0"/>
        <v/>
      </c>
      <c r="N55" s="217" t="s">
        <v>996</v>
      </c>
      <c r="O55" s="165" t="s">
        <v>996</v>
      </c>
      <c r="P55" s="181" t="s">
        <v>192</v>
      </c>
      <c r="Q55" s="678" t="str">
        <f t="shared" si="1"/>
        <v/>
      </c>
      <c r="R55"/>
    </row>
    <row r="56" spans="1:18" x14ac:dyDescent="0.35">
      <c r="A56" s="898"/>
      <c r="B56" s="579"/>
      <c r="C56" s="186"/>
      <c r="D56" s="579"/>
      <c r="E56" s="577"/>
      <c r="F56" s="186"/>
      <c r="G56" s="501" t="str" cm="1">
        <f t="array" ref="G56">IFERROR((_xlfn.IFS(F56=$V$14,"3",F56=$V$15,"2",F56=$V$16,"1",F56=$V$17,"1"))*E56,"")</f>
        <v/>
      </c>
      <c r="H56" s="168"/>
      <c r="I56" s="186"/>
      <c r="J56" s="584" t="str">
        <f>IFERROR(H56/VLOOKUP(I56,'$ Conversion'!$A$9:$B$40,2,0),"")</f>
        <v/>
      </c>
      <c r="K56" s="212"/>
      <c r="L56" s="1163" t="str">
        <f>IFERROR(VLOOKUP(D56,'Carbon factors'!$AK$7:$AL$10,2,0),"")</f>
        <v/>
      </c>
      <c r="M56" s="701" t="str">
        <f t="shared" si="0"/>
        <v/>
      </c>
      <c r="N56" s="217" t="s">
        <v>996</v>
      </c>
      <c r="O56" s="165" t="s">
        <v>996</v>
      </c>
      <c r="P56" s="181" t="s">
        <v>192</v>
      </c>
      <c r="Q56" s="678" t="str">
        <f t="shared" si="1"/>
        <v/>
      </c>
      <c r="R56"/>
    </row>
    <row r="57" spans="1:18" ht="15" thickBot="1" x14ac:dyDescent="0.4">
      <c r="A57" s="899"/>
      <c r="B57" s="580"/>
      <c r="C57" s="188"/>
      <c r="D57" s="580"/>
      <c r="E57" s="575"/>
      <c r="F57" s="188"/>
      <c r="G57" s="502" t="str" cm="1">
        <f t="array" ref="G57">IFERROR((_xlfn.IFS(F57=$V$14,"3",F57=$V$15,"2",F57=$V$16,"1",F57=$V$17,"1"))*E57,"")</f>
        <v/>
      </c>
      <c r="H57" s="187"/>
      <c r="I57" s="188"/>
      <c r="J57" s="585" t="str">
        <f>IFERROR(H57/VLOOKUP(I57,'$ Conversion'!$A$9:$B$40,2,0),"")</f>
        <v/>
      </c>
      <c r="K57" s="213"/>
      <c r="L57" s="1164" t="str">
        <f>IFERROR(VLOOKUP(D57,'Carbon factors'!$AK$7:$AL$10,2,0),"")</f>
        <v/>
      </c>
      <c r="M57" s="702" t="str">
        <f t="shared" si="0"/>
        <v/>
      </c>
      <c r="N57" s="218" t="s">
        <v>996</v>
      </c>
      <c r="O57" s="182" t="s">
        <v>996</v>
      </c>
      <c r="P57" s="185" t="s">
        <v>192</v>
      </c>
      <c r="Q57" s="679" t="str">
        <f t="shared" si="1"/>
        <v/>
      </c>
      <c r="R57"/>
    </row>
  </sheetData>
  <sheetProtection algorithmName="SHA-512" hashValue="zciq3FIpUXNmSltpusHutirUKyUC0T0UJDLKPOvVIIBTpHXX1/VPoUEhengIsl29ywVCbx64lFpbscvRcHpwgA==" saltValue="EzdHrGDdMWjDqU7cpeVJkw==" spinCount="100000" sheet="1" objects="1" scenarios="1"/>
  <protectedRanges>
    <protectedRange sqref="B14:F57 H14:I57 K14:K57" name="Range2"/>
    <protectedRange sqref="H2" name="Range1_1"/>
    <protectedRange sqref="A14:A57" name="Range2_2_1_1"/>
  </protectedRanges>
  <mergeCells count="12">
    <mergeCell ref="S12:V12"/>
    <mergeCell ref="A1:B1"/>
    <mergeCell ref="A2:E2"/>
    <mergeCell ref="A3:E3"/>
    <mergeCell ref="A4:E4"/>
    <mergeCell ref="D6:E6"/>
    <mergeCell ref="G2:G4"/>
    <mergeCell ref="A7:A9"/>
    <mergeCell ref="D7:E9"/>
    <mergeCell ref="D10:E10"/>
    <mergeCell ref="H2:Q4"/>
    <mergeCell ref="C1:E1"/>
  </mergeCells>
  <dataValidations count="6">
    <dataValidation type="list" allowBlank="1" showInputMessage="1" showErrorMessage="1" sqref="B14:B57" xr:uid="{D7B9D8D9-A94F-4FD8-A964-8D918F4D0C2E}">
      <formula1>$T$14:$T$19</formula1>
    </dataValidation>
    <dataValidation type="list" allowBlank="1" showInputMessage="1" showErrorMessage="1" sqref="C14:C57" xr:uid="{C048C42B-E99D-4C6B-9B92-28DE46C40C08}">
      <formula1>$U$14:$U$19</formula1>
    </dataValidation>
    <dataValidation type="list" allowBlank="1" showInputMessage="1" showErrorMessage="1" sqref="D14:D57" xr:uid="{706CC25B-2A6D-4E47-AFE1-CFB8E10ABC24}">
      <formula1>$S$14:$S$17</formula1>
    </dataValidation>
    <dataValidation type="list" allowBlank="1" showInputMessage="1" showErrorMessage="1" sqref="F57" xr:uid="{424BE012-3C8C-4B34-8907-E1CE1EE92E41}">
      <formula1>$V$14:$V$18</formula1>
    </dataValidation>
    <dataValidation type="list" allowBlank="1" showInputMessage="1" showErrorMessage="1" sqref="F14:F56" xr:uid="{59D56C75-BA77-4FC5-A356-235D5D1A7594}">
      <formula1>$V$14:$V$17</formula1>
    </dataValidation>
    <dataValidation type="decimal" allowBlank="1" showInputMessage="1" showErrorMessage="1" errorTitle="Number only" error="Enter a number only" sqref="E14:E57 H14:H57" xr:uid="{EC18A118-CC68-4A49-81E4-6A835D68F540}">
      <formula1>0</formula1>
      <formula2>10000000000</formula2>
    </dataValidation>
  </dataValidations>
  <hyperlinks>
    <hyperlink ref="C1:E1" r:id="rId1" display="A comparison study in Nature highlighted that the carbon footprint of bottled water could be 300 times higher than that of tap water" xr:uid="{79B8C05D-7966-43F2-B46D-63C727ECD615}"/>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BCA3BA4-3AAA-4A07-9A27-7BA7D6613C58}">
          <x14:formula1>
            <xm:f>Buildings!$B$9:$B$41</xm:f>
          </x14:formula1>
          <xm:sqref>A14:A57</xm:sqref>
        </x14:dataValidation>
        <x14:dataValidation type="list" allowBlank="1" showInputMessage="1" showErrorMessage="1" xr:uid="{DB6791E4-CC40-4685-B39A-41E37DF7AFE5}">
          <x14:formula1>
            <xm:f>'$ Conversion'!$A$9:$A$34</xm:f>
          </x14:formula1>
          <xm:sqref>I14:I57</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C4A5B-E0E2-4E64-9D5A-1B7CEA112B4D}">
  <sheetPr codeName="Sheet14">
    <tabColor rgb="FF00B050"/>
  </sheetPr>
  <dimension ref="A1:Y108"/>
  <sheetViews>
    <sheetView zoomScale="70" zoomScaleNormal="70" workbookViewId="0">
      <selection activeCell="B17" sqref="B17"/>
    </sheetView>
  </sheetViews>
  <sheetFormatPr defaultColWidth="17.26953125" defaultRowHeight="14.5" x14ac:dyDescent="0.35"/>
  <cols>
    <col min="1" max="1" width="45.453125" customWidth="1"/>
    <col min="2" max="2" width="34.453125" customWidth="1"/>
    <col min="3" max="3" width="31" customWidth="1"/>
    <col min="4" max="4" width="25" customWidth="1"/>
    <col min="5" max="5" width="23.81640625" customWidth="1"/>
    <col min="6" max="6" width="26.1796875" customWidth="1"/>
    <col min="7" max="7" width="21.453125" customWidth="1"/>
    <col min="8" max="8" width="17.26953125" style="668"/>
    <col min="11" max="11" width="25.26953125" customWidth="1"/>
    <col min="12" max="12" width="30.7265625" customWidth="1"/>
    <col min="13" max="14" width="18.7265625" bestFit="1" customWidth="1"/>
    <col min="15" max="15" width="20.453125" customWidth="1"/>
    <col min="16" max="16" width="20.1796875" bestFit="1" customWidth="1"/>
    <col min="17" max="17" width="17.26953125" style="567" customWidth="1"/>
    <col min="18" max="18" width="13.453125" style="706" bestFit="1" customWidth="1"/>
    <col min="19" max="20" width="13.26953125" style="706" bestFit="1" customWidth="1"/>
    <col min="21" max="21" width="17.26953125" style="567" customWidth="1"/>
    <col min="22" max="22" width="17.453125" hidden="1" customWidth="1"/>
    <col min="23" max="23" width="41.453125" hidden="1" customWidth="1"/>
    <col min="24" max="24" width="46.453125" hidden="1" customWidth="1"/>
    <col min="25" max="25" width="35.7265625" hidden="1" customWidth="1"/>
    <col min="26" max="26" width="18" bestFit="1" customWidth="1"/>
  </cols>
  <sheetData>
    <row r="1" spans="1:25" ht="38.25" customHeight="1" thickBot="1" x14ac:dyDescent="0.4">
      <c r="A1" s="1790" t="s">
        <v>415</v>
      </c>
      <c r="B1" s="1791"/>
    </row>
    <row r="2" spans="1:25" ht="80.25" customHeight="1" x14ac:dyDescent="0.35">
      <c r="A2" s="1815" t="s">
        <v>1011</v>
      </c>
      <c r="B2" s="1816"/>
      <c r="C2" s="1816"/>
      <c r="D2" s="1816"/>
      <c r="E2" s="1817"/>
      <c r="H2" s="694"/>
      <c r="J2" s="1765" t="s">
        <v>309</v>
      </c>
      <c r="K2" s="1769" t="s">
        <v>509</v>
      </c>
      <c r="L2" s="1769"/>
      <c r="M2" s="1769"/>
      <c r="N2" s="1769"/>
      <c r="O2" s="1769"/>
      <c r="P2" s="1770"/>
    </row>
    <row r="3" spans="1:25" x14ac:dyDescent="0.35">
      <c r="A3" s="1818" t="s">
        <v>1012</v>
      </c>
      <c r="B3" s="1819"/>
      <c r="C3" s="1819"/>
      <c r="D3" s="1819"/>
      <c r="E3" s="1820"/>
      <c r="F3" s="4"/>
      <c r="H3" s="801"/>
      <c r="J3" s="1766"/>
      <c r="K3" s="1772"/>
      <c r="L3" s="1772"/>
      <c r="M3" s="1772"/>
      <c r="N3" s="1772"/>
      <c r="O3" s="1772"/>
      <c r="P3" s="1773"/>
    </row>
    <row r="4" spans="1:25" ht="52.5" customHeight="1" thickBot="1" x14ac:dyDescent="0.4">
      <c r="A4" s="1821" t="s">
        <v>1013</v>
      </c>
      <c r="B4" s="1822"/>
      <c r="C4" s="1822"/>
      <c r="D4" s="1822"/>
      <c r="E4" s="1823"/>
      <c r="H4" s="801"/>
      <c r="J4" s="1767"/>
      <c r="K4" s="1775"/>
      <c r="L4" s="1775"/>
      <c r="M4" s="1775"/>
      <c r="N4" s="1775"/>
      <c r="O4" s="1775"/>
      <c r="P4" s="1776"/>
    </row>
    <row r="5" spans="1:25" ht="15" thickBot="1" x14ac:dyDescent="0.4">
      <c r="H5" s="694"/>
    </row>
    <row r="6" spans="1:25" ht="38.25" customHeight="1" thickBot="1" x14ac:dyDescent="0.4">
      <c r="A6" s="442" t="s">
        <v>206</v>
      </c>
      <c r="B6" s="443">
        <f>SUMIF(O17:O108, "Scope 3",N17:N108)/1000</f>
        <v>0</v>
      </c>
      <c r="C6" s="441" t="s">
        <v>976</v>
      </c>
      <c r="D6" s="1682" t="s">
        <v>1014</v>
      </c>
      <c r="E6" s="1684"/>
      <c r="H6" s="394"/>
      <c r="I6" s="394"/>
      <c r="J6" s="1688" t="s">
        <v>1015</v>
      </c>
      <c r="K6" s="1689"/>
      <c r="L6" s="1689"/>
      <c r="M6" s="1689"/>
      <c r="N6" s="1689"/>
      <c r="O6" s="1689"/>
      <c r="P6" s="1690"/>
    </row>
    <row r="7" spans="1:25" ht="38.25" customHeight="1" thickBot="1" x14ac:dyDescent="0.4">
      <c r="A7" s="482" t="s">
        <v>211</v>
      </c>
      <c r="B7" s="443">
        <f>SUMIF(O17:O108, "Scope 1",N17:N108)/1000</f>
        <v>0</v>
      </c>
      <c r="C7" s="460" t="s">
        <v>976</v>
      </c>
      <c r="D7" s="1682" t="s">
        <v>1016</v>
      </c>
      <c r="E7" s="1684"/>
      <c r="G7" s="394"/>
      <c r="H7" s="394"/>
      <c r="I7" s="394"/>
      <c r="J7" s="1825"/>
      <c r="K7" s="1826"/>
      <c r="L7" s="1826"/>
      <c r="M7" s="1826"/>
      <c r="N7" s="1826"/>
      <c r="O7" s="1826"/>
      <c r="P7" s="1827"/>
    </row>
    <row r="8" spans="1:25" ht="23.25" customHeight="1" x14ac:dyDescent="0.35">
      <c r="A8" s="1910" t="s">
        <v>978</v>
      </c>
      <c r="B8" s="703">
        <f>SUMIF(B17:B108, "Incinerated:Off-site in owned incinerator",L17:L108)+SUMIF(B17:B108, "Incinerated:On-site in owned incinerator",L17:L108)+SUMIF(B17:B108, "Incinerated: Waste company incinerator",L17:L108)</f>
        <v>0</v>
      </c>
      <c r="C8" s="279" t="s">
        <v>1017</v>
      </c>
      <c r="D8" s="1688" t="s">
        <v>1018</v>
      </c>
      <c r="E8" s="1690"/>
      <c r="G8" s="394"/>
      <c r="H8" s="394"/>
      <c r="I8" s="394"/>
      <c r="J8" s="1825"/>
      <c r="K8" s="1826"/>
      <c r="L8" s="1826"/>
      <c r="M8" s="1826"/>
      <c r="N8" s="1826"/>
      <c r="O8" s="1826"/>
      <c r="P8" s="1827"/>
    </row>
    <row r="9" spans="1:25" ht="26.25" customHeight="1" thickBot="1" x14ac:dyDescent="0.4">
      <c r="A9" s="1911"/>
      <c r="B9" s="704">
        <f>(SUMIF(B17:B108, "Buried by staff",L17:L108))+SUMIF(B17:B108, "Landfill",L17:L108)</f>
        <v>0</v>
      </c>
      <c r="C9" s="280" t="s">
        <v>1019</v>
      </c>
      <c r="D9" s="1825"/>
      <c r="E9" s="1827"/>
      <c r="G9" s="394"/>
      <c r="H9" s="394"/>
      <c r="I9" s="394"/>
      <c r="J9" s="1691"/>
      <c r="K9" s="1692"/>
      <c r="L9" s="1692"/>
      <c r="M9" s="1692"/>
      <c r="N9" s="1692"/>
      <c r="O9" s="1692"/>
      <c r="P9" s="1693"/>
    </row>
    <row r="10" spans="1:25" ht="30" customHeight="1" x14ac:dyDescent="0.35">
      <c r="A10" s="1911"/>
      <c r="B10" s="704">
        <f>SUMIF(B17:B108, "Recycled, composted, sold or animal feed",L17:L108)</f>
        <v>0</v>
      </c>
      <c r="C10" s="280" t="s">
        <v>1020</v>
      </c>
      <c r="D10" s="1825"/>
      <c r="E10" s="1827"/>
    </row>
    <row r="11" spans="1:25" ht="30" customHeight="1" thickBot="1" x14ac:dyDescent="0.4">
      <c r="A11" s="1911"/>
      <c r="B11" s="1189">
        <f>B12-SUM(B8:B10)</f>
        <v>0</v>
      </c>
      <c r="C11" s="1190" t="s">
        <v>1021</v>
      </c>
      <c r="D11" s="1825"/>
      <c r="E11" s="1827"/>
    </row>
    <row r="12" spans="1:25" ht="30.75" customHeight="1" thickBot="1" x14ac:dyDescent="0.4">
      <c r="A12" s="1912"/>
      <c r="B12" s="705">
        <f>SUM(L17:L108)</f>
        <v>0</v>
      </c>
      <c r="C12" s="281" t="s">
        <v>1022</v>
      </c>
      <c r="D12" s="1691"/>
      <c r="E12" s="1693"/>
      <c r="R12" s="1465" t="s">
        <v>644</v>
      </c>
      <c r="S12" s="1466" t="s">
        <v>645</v>
      </c>
      <c r="T12" s="1467" t="s">
        <v>646</v>
      </c>
    </row>
    <row r="13" spans="1:25" ht="59.25" customHeight="1" thickBot="1" x14ac:dyDescent="0.4">
      <c r="A13" s="465" t="s">
        <v>516</v>
      </c>
      <c r="B13" s="444" t="str">
        <f>IFERROR((SUM(G17:G108))/(SUM(E17:E108)*3),"")</f>
        <v/>
      </c>
      <c r="C13" s="468" t="s">
        <v>517</v>
      </c>
      <c r="D13" s="1828" t="s">
        <v>647</v>
      </c>
      <c r="E13" s="1830"/>
      <c r="R13" s="1444">
        <f>SUM(R17:R112)</f>
        <v>0</v>
      </c>
      <c r="S13" s="1445">
        <f>SUM(S17:S112)</f>
        <v>0</v>
      </c>
      <c r="T13" s="1446">
        <f>SUM(T17:T112)</f>
        <v>0</v>
      </c>
    </row>
    <row r="14" spans="1:25" ht="15" thickBot="1" x14ac:dyDescent="0.4"/>
    <row r="15" spans="1:25" ht="30" x14ac:dyDescent="0.45">
      <c r="A15" s="171" t="s">
        <v>1023</v>
      </c>
      <c r="B15" s="171" t="s">
        <v>1024</v>
      </c>
      <c r="C15" s="171" t="s">
        <v>1025</v>
      </c>
      <c r="D15" s="171" t="s">
        <v>986</v>
      </c>
      <c r="E15" s="171" t="s">
        <v>1026</v>
      </c>
      <c r="F15" s="172" t="s">
        <v>535</v>
      </c>
      <c r="G15" s="661" t="s">
        <v>536</v>
      </c>
      <c r="H15" s="172" t="s">
        <v>537</v>
      </c>
      <c r="I15" s="172" t="s">
        <v>142</v>
      </c>
      <c r="J15" s="172" t="s">
        <v>538</v>
      </c>
      <c r="K15" s="171" t="s">
        <v>619</v>
      </c>
      <c r="L15" s="234" t="s">
        <v>1027</v>
      </c>
      <c r="M15" s="233" t="s">
        <v>542</v>
      </c>
      <c r="N15" s="172" t="s">
        <v>543</v>
      </c>
      <c r="O15" s="234" t="s">
        <v>544</v>
      </c>
      <c r="P15" s="671" t="s">
        <v>546</v>
      </c>
      <c r="Q15"/>
      <c r="R15" s="1447" t="s">
        <v>178</v>
      </c>
      <c r="S15" s="1448" t="s">
        <v>179</v>
      </c>
      <c r="T15" s="1449" t="s">
        <v>180</v>
      </c>
      <c r="U15"/>
      <c r="V15" s="1916" t="s">
        <v>325</v>
      </c>
      <c r="W15" s="1917"/>
      <c r="X15" s="1917"/>
      <c r="Y15" s="1918"/>
    </row>
    <row r="16" spans="1:25" ht="58.5" thickBot="1" x14ac:dyDescent="0.4">
      <c r="A16" s="190" t="s">
        <v>329</v>
      </c>
      <c r="B16" s="190" t="s">
        <v>329</v>
      </c>
      <c r="C16" s="190" t="s">
        <v>329</v>
      </c>
      <c r="D16" s="190" t="s">
        <v>329</v>
      </c>
      <c r="E16" s="190" t="s">
        <v>467</v>
      </c>
      <c r="F16" s="190" t="s">
        <v>329</v>
      </c>
      <c r="G16" s="665"/>
      <c r="H16" s="193" t="s">
        <v>467</v>
      </c>
      <c r="I16" s="190" t="s">
        <v>329</v>
      </c>
      <c r="J16" s="190" t="s">
        <v>556</v>
      </c>
      <c r="K16" s="190" t="s">
        <v>991</v>
      </c>
      <c r="L16" s="268" t="s">
        <v>1028</v>
      </c>
      <c r="M16" s="189" t="s">
        <v>614</v>
      </c>
      <c r="N16" s="190" t="s">
        <v>560</v>
      </c>
      <c r="O16" s="194" t="s">
        <v>561</v>
      </c>
      <c r="P16" s="672" t="s">
        <v>556</v>
      </c>
      <c r="Q16"/>
      <c r="R16" s="1450" t="s">
        <v>202</v>
      </c>
      <c r="S16" s="1451" t="s">
        <v>202</v>
      </c>
      <c r="T16" s="1452" t="s">
        <v>202</v>
      </c>
      <c r="U16"/>
      <c r="V16" s="800" t="s">
        <v>533</v>
      </c>
      <c r="W16" s="818" t="s">
        <v>1024</v>
      </c>
      <c r="X16" s="818" t="s">
        <v>1029</v>
      </c>
      <c r="Y16" s="833" t="s">
        <v>535</v>
      </c>
    </row>
    <row r="17" spans="1:25" x14ac:dyDescent="0.35">
      <c r="A17" s="897"/>
      <c r="B17" s="578"/>
      <c r="C17" s="197"/>
      <c r="D17" s="435" t="s">
        <v>332</v>
      </c>
      <c r="E17" s="576"/>
      <c r="F17" s="197"/>
      <c r="G17" s="500" t="str" cm="1">
        <f t="array" ref="G17">IFERROR((_xlfn.IFS(F17=$Y$17,"3",F17=$Y$18,"2",F17=$Y$19,"1",F17=$Y$20,"1"))*E17,"")</f>
        <v/>
      </c>
      <c r="H17" s="199"/>
      <c r="I17" s="197"/>
      <c r="J17" s="440" t="str">
        <f>IFERROR(H17/VLOOKUP(I17,'$ Conversion'!$A$9:$B$40,2,0),"")</f>
        <v/>
      </c>
      <c r="K17" s="209"/>
      <c r="L17" s="1216">
        <f>IFERROR((E17),"")</f>
        <v>0</v>
      </c>
      <c r="M17" s="1406" t="str">
        <f>IFERROR(VLOOKUP($B17,'Carbon factors'!$FJ$8:$FL$15,3,0),"")</f>
        <v/>
      </c>
      <c r="N17" s="1415" t="str">
        <f>IFERROR((M17*E17),"")</f>
        <v/>
      </c>
      <c r="O17" s="450" t="str">
        <f>IF((OR(B17="Incinerated:Off-site in owned incinerator", B17="Incinerated:On-site in owned incinerator",B17="Buried by staff")), "Scope 1", "Scope 3")</f>
        <v>Scope 3</v>
      </c>
      <c r="P17" s="673" t="str">
        <f>IFERROR((J17*E17),"")</f>
        <v/>
      </c>
      <c r="Q17"/>
      <c r="R17" s="1453" t="str">
        <f>IFERROR(((E17*M17)-((SUM(S17,T17)))),"")</f>
        <v/>
      </c>
      <c r="S17" s="183" t="str" cm="1">
        <f t="array" ref="S17">IFERROR((_xlfn.IFS(B17="Landfill",(N17/'Carbon factors'!$DM$8),B17="Buried by staff",(N17/'Carbon factors'!$DM$8))),"")</f>
        <v/>
      </c>
      <c r="T17" s="1454" t="str">
        <f>IFERROR(((VLOOKUP(B17,'Carbon factors'!$FJ$8:$FN$15,5,0))*E17),"")</f>
        <v/>
      </c>
      <c r="U17"/>
      <c r="V17" s="815" t="s">
        <v>1030</v>
      </c>
      <c r="W17" s="816" t="s">
        <v>1031</v>
      </c>
      <c r="X17" s="817" t="s">
        <v>1032</v>
      </c>
      <c r="Y17" s="816" t="s">
        <v>1033</v>
      </c>
    </row>
    <row r="18" spans="1:25" x14ac:dyDescent="0.35">
      <c r="A18" s="898"/>
      <c r="B18" s="579"/>
      <c r="C18" s="186"/>
      <c r="D18" s="179" t="s">
        <v>332</v>
      </c>
      <c r="E18" s="577"/>
      <c r="F18" s="186"/>
      <c r="G18" s="501" t="str" cm="1">
        <f t="array" ref="G18">IFERROR((_xlfn.IFS(F18=$Y$17,"3",F18=$Y$18,"2",F18=$Y$19,"1",F18=$Y$20,"1"))*E18,"")</f>
        <v/>
      </c>
      <c r="H18" s="168"/>
      <c r="I18" s="186"/>
      <c r="J18" s="183" t="str">
        <f>IFERROR(H18/VLOOKUP(I18,'$ Conversion'!$A$9:$B$40,2,0),"")</f>
        <v/>
      </c>
      <c r="K18" s="212"/>
      <c r="L18" s="1217">
        <f>IFERROR((E18),"")</f>
        <v>0</v>
      </c>
      <c r="M18" s="1407" t="str">
        <f>IFERROR(VLOOKUP($B18,'Carbon factors'!$FJ$8:$FL$15,3,0),"")</f>
        <v/>
      </c>
      <c r="N18" s="1295" t="str">
        <f>IFERROR((M18*E18),"")</f>
        <v/>
      </c>
      <c r="O18" s="590" t="str">
        <f t="shared" ref="O18:O108" si="0">IF((OR(B18="Incinerated:Off-site in owned incinerator", B18="Incinerated:On-site in owned incinerator",B18="Buried by staff")), "Scope 1", "Scope 3")</f>
        <v>Scope 3</v>
      </c>
      <c r="P18" s="674" t="str">
        <f>IFERROR((J18*E18),"")</f>
        <v/>
      </c>
      <c r="Q18"/>
      <c r="R18" s="1297" t="str">
        <f t="shared" ref="R18:R81" si="1">IFERROR(((E18*M18)-((SUM(S18,T18)))),"")</f>
        <v/>
      </c>
      <c r="S18" s="183" t="str" cm="1">
        <f t="array" ref="S18">IFERROR((_xlfn.IFS(B18="Landfill",(N18/'Carbon factors'!$DM$8),B18="Buried by staff",(N18/'Carbon factors'!$DM$8))),"")</f>
        <v/>
      </c>
      <c r="T18" s="1296" t="str">
        <f>IFERROR(((VLOOKUP(B18,'Carbon factors'!$FJ$8:$FN$15,5,0))*E18),"")</f>
        <v/>
      </c>
      <c r="U18"/>
      <c r="V18" s="708"/>
      <c r="W18" s="543" t="s">
        <v>1034</v>
      </c>
      <c r="X18" s="709" t="s">
        <v>1035</v>
      </c>
      <c r="Y18" s="543" t="s">
        <v>1036</v>
      </c>
    </row>
    <row r="19" spans="1:25" x14ac:dyDescent="0.35">
      <c r="A19" s="898"/>
      <c r="B19" s="579"/>
      <c r="C19" s="186"/>
      <c r="D19" s="179" t="s">
        <v>332</v>
      </c>
      <c r="E19" s="577"/>
      <c r="F19" s="186"/>
      <c r="G19" s="501" t="str" cm="1">
        <f t="array" ref="G19">IFERROR((_xlfn.IFS(F19=$Y$17,"3",F19=$Y$18,"2",F19=$Y$19,"1",F19=$Y$20,"1"))*E19,"")</f>
        <v/>
      </c>
      <c r="H19" s="168"/>
      <c r="I19" s="186"/>
      <c r="J19" s="183" t="str">
        <f>IFERROR(H19/VLOOKUP(I19,'$ Conversion'!$A$9:$B$40,2,0),"")</f>
        <v/>
      </c>
      <c r="K19" s="212"/>
      <c r="L19" s="1217">
        <f t="shared" ref="L19:L108" si="2">IFERROR((E19),"")</f>
        <v>0</v>
      </c>
      <c r="M19" s="1407" t="str">
        <f>IFERROR(VLOOKUP($B19,'Carbon factors'!$FJ$8:$FL$15,3,0),"")</f>
        <v/>
      </c>
      <c r="N19" s="1295" t="str">
        <f t="shared" ref="N19:N108" si="3">IFERROR((M19*E19),"")</f>
        <v/>
      </c>
      <c r="O19" s="590" t="str">
        <f t="shared" si="0"/>
        <v>Scope 3</v>
      </c>
      <c r="P19" s="674" t="str">
        <f t="shared" ref="P19:P108" si="4">IFERROR((J19*E19),"")</f>
        <v/>
      </c>
      <c r="Q19"/>
      <c r="R19" s="1297" t="str">
        <f t="shared" si="1"/>
        <v/>
      </c>
      <c r="S19" s="183" t="str" cm="1">
        <f t="array" ref="S19">IFERROR((_xlfn.IFS(B19="Landfill",(N19/'Carbon factors'!$DM$8),B19="Buried by staff",(N19/'Carbon factors'!$DM$8))),"")</f>
        <v/>
      </c>
      <c r="T19" s="1296" t="str">
        <f>IFERROR(((VLOOKUP(B19,'Carbon factors'!$FJ$8:$FN$15,5,0))*E19),"")</f>
        <v/>
      </c>
      <c r="U19"/>
      <c r="V19" s="544"/>
      <c r="W19" s="543" t="s">
        <v>1037</v>
      </c>
      <c r="X19" s="397" t="s">
        <v>1038</v>
      </c>
      <c r="Y19" s="543" t="s">
        <v>817</v>
      </c>
    </row>
    <row r="20" spans="1:25" x14ac:dyDescent="0.35">
      <c r="A20" s="898"/>
      <c r="B20" s="579"/>
      <c r="C20" s="186"/>
      <c r="D20" s="179" t="s">
        <v>332</v>
      </c>
      <c r="E20" s="577"/>
      <c r="F20" s="186"/>
      <c r="G20" s="501" t="str" cm="1">
        <f t="array" ref="G20">IFERROR((_xlfn.IFS(F20=$Y$17,"3",F20=$Y$18,"2",F20=$Y$19,"1",F20=$Y$20,"1"))*E20,"")</f>
        <v/>
      </c>
      <c r="H20" s="168"/>
      <c r="I20" s="186"/>
      <c r="J20" s="183" t="str">
        <f>IFERROR(H20/VLOOKUP(I20,'$ Conversion'!$A$9:$B$40,2,0),"")</f>
        <v/>
      </c>
      <c r="K20" s="212"/>
      <c r="L20" s="1217">
        <f t="shared" si="2"/>
        <v>0</v>
      </c>
      <c r="M20" s="1407" t="str">
        <f>IFERROR(VLOOKUP($B20,'Carbon factors'!$FJ$8:$FL$15,3,0),"")</f>
        <v/>
      </c>
      <c r="N20" s="1295" t="str">
        <f t="shared" si="3"/>
        <v/>
      </c>
      <c r="O20" s="590" t="str">
        <f t="shared" si="0"/>
        <v>Scope 3</v>
      </c>
      <c r="P20" s="674" t="str">
        <f t="shared" si="4"/>
        <v/>
      </c>
      <c r="Q20"/>
      <c r="R20" s="1297" t="str">
        <f t="shared" si="1"/>
        <v/>
      </c>
      <c r="S20" s="183" t="str" cm="1">
        <f t="array" ref="S20">IFERROR((_xlfn.IFS(B20="Landfill",(N20/'Carbon factors'!$DM$8),B20="Buried by staff",(N20/'Carbon factors'!$DM$8))),"")</f>
        <v/>
      </c>
      <c r="T20" s="1296" t="str">
        <f>IFERROR(((VLOOKUP(B20,'Carbon factors'!$FJ$8:$FN$15,5,0))*E20),"")</f>
        <v/>
      </c>
      <c r="U20"/>
      <c r="V20" s="544"/>
      <c r="W20" s="543" t="s">
        <v>1039</v>
      </c>
      <c r="X20" s="709" t="s">
        <v>1040</v>
      </c>
      <c r="Y20" s="543" t="s">
        <v>820</v>
      </c>
    </row>
    <row r="21" spans="1:25" x14ac:dyDescent="0.35">
      <c r="A21" s="898"/>
      <c r="B21" s="579"/>
      <c r="C21" s="186"/>
      <c r="D21" s="179" t="s">
        <v>332</v>
      </c>
      <c r="E21" s="577"/>
      <c r="F21" s="186"/>
      <c r="G21" s="501" t="str" cm="1">
        <f t="array" ref="G21">IFERROR((_xlfn.IFS(F21=$Y$17,"3",F21=$Y$18,"2",F21=$Y$19,"1",F21=$Y$20,"1"))*E21,"")</f>
        <v/>
      </c>
      <c r="H21" s="168"/>
      <c r="I21" s="186"/>
      <c r="J21" s="183" t="str">
        <f>IFERROR(H21/VLOOKUP(I21,'$ Conversion'!$A$9:$B$40,2,0),"")</f>
        <v/>
      </c>
      <c r="K21" s="212"/>
      <c r="L21" s="1217">
        <f>IFERROR((E21),"")</f>
        <v>0</v>
      </c>
      <c r="M21" s="1407" t="str">
        <f>IFERROR(VLOOKUP($B21,'Carbon factors'!$FJ$8:$FL$15,3,0),"")</f>
        <v/>
      </c>
      <c r="N21" s="1295" t="str">
        <f t="shared" si="3"/>
        <v/>
      </c>
      <c r="O21" s="590" t="str">
        <f t="shared" si="0"/>
        <v>Scope 3</v>
      </c>
      <c r="P21" s="674" t="str">
        <f t="shared" si="4"/>
        <v/>
      </c>
      <c r="Q21"/>
      <c r="R21" s="1297" t="str">
        <f t="shared" si="1"/>
        <v/>
      </c>
      <c r="S21" s="183" t="str" cm="1">
        <f t="array" ref="S21">IFERROR((_xlfn.IFS(B21="Landfill",(N21/'Carbon factors'!$DM$8),B21="Buried by staff",(N21/'Carbon factors'!$DM$8))),"")</f>
        <v/>
      </c>
      <c r="T21" s="1296" t="str">
        <f>IFERROR(((VLOOKUP(B21,'Carbon factors'!$FJ$8:$FN$15,5,0))*E21),"")</f>
        <v/>
      </c>
      <c r="U21"/>
      <c r="V21" s="545"/>
      <c r="W21" s="543" t="s">
        <v>1041</v>
      </c>
      <c r="X21" s="543" t="s">
        <v>1042</v>
      </c>
      <c r="Y21" s="543"/>
    </row>
    <row r="22" spans="1:25" x14ac:dyDescent="0.35">
      <c r="A22" s="898"/>
      <c r="B22" s="579"/>
      <c r="C22" s="186"/>
      <c r="D22" s="179" t="s">
        <v>332</v>
      </c>
      <c r="E22" s="577"/>
      <c r="F22" s="186"/>
      <c r="G22" s="501" t="str" cm="1">
        <f t="array" ref="G22">IFERROR((_xlfn.IFS(F22=$Y$17,"3",F22=$Y$18,"2",F22=$Y$19,"1",F22=$Y$20,"1"))*E22,"")</f>
        <v/>
      </c>
      <c r="H22" s="168"/>
      <c r="I22" s="186"/>
      <c r="J22" s="183" t="str">
        <f>IFERROR(H22/VLOOKUP(I22,'$ Conversion'!$A$9:$B$40,2,0),"")</f>
        <v/>
      </c>
      <c r="K22" s="212"/>
      <c r="L22" s="1217">
        <f>IFERROR((E22),"")</f>
        <v>0</v>
      </c>
      <c r="M22" s="1407" t="str">
        <f>IFERROR(VLOOKUP($B22,'Carbon factors'!$FJ$8:$FL$15,3,0),"")</f>
        <v/>
      </c>
      <c r="N22" s="1295" t="str">
        <f t="shared" si="3"/>
        <v/>
      </c>
      <c r="O22" s="590" t="str">
        <f t="shared" si="0"/>
        <v>Scope 3</v>
      </c>
      <c r="P22" s="674" t="str">
        <f t="shared" si="4"/>
        <v/>
      </c>
      <c r="Q22"/>
      <c r="R22" s="1297" t="str">
        <f t="shared" si="1"/>
        <v/>
      </c>
      <c r="S22" s="183" t="str" cm="1">
        <f t="array" ref="S22">IFERROR((_xlfn.IFS(B22="Landfill",(N22/'Carbon factors'!$DM$8),B22="Buried by staff",(N22/'Carbon factors'!$DM$8))),"")</f>
        <v/>
      </c>
      <c r="T22" s="1296" t="str">
        <f>IFERROR(((VLOOKUP(B22,'Carbon factors'!$FJ$8:$FN$15,5,0))*E22),"")</f>
        <v/>
      </c>
      <c r="U22"/>
      <c r="V22" s="545"/>
      <c r="W22" s="543" t="s">
        <v>1043</v>
      </c>
      <c r="X22" s="543" t="s">
        <v>1044</v>
      </c>
      <c r="Y22" s="543"/>
    </row>
    <row r="23" spans="1:25" x14ac:dyDescent="0.35">
      <c r="A23" s="898"/>
      <c r="B23" s="579"/>
      <c r="C23" s="186"/>
      <c r="D23" s="179" t="s">
        <v>332</v>
      </c>
      <c r="E23" s="577"/>
      <c r="F23" s="186"/>
      <c r="G23" s="501" t="str" cm="1">
        <f t="array" ref="G23">IFERROR((_xlfn.IFS(F23=$Y$17,"3",F23=$Y$18,"2",F23=$Y$19,"1",F23=$Y$20,"1"))*E23,"")</f>
        <v/>
      </c>
      <c r="H23" s="168"/>
      <c r="I23" s="186"/>
      <c r="J23" s="183" t="str">
        <f>IFERROR(H23/VLOOKUP(I23,'$ Conversion'!$A$9:$B$40,2,0),"")</f>
        <v/>
      </c>
      <c r="K23" s="212"/>
      <c r="L23" s="1217">
        <f>IFERROR((E23),"")</f>
        <v>0</v>
      </c>
      <c r="M23" s="1407" t="str">
        <f>IFERROR(VLOOKUP($B23,'Carbon factors'!$FJ$8:$FL$15,3,0),"")</f>
        <v/>
      </c>
      <c r="N23" s="1295" t="str">
        <f t="shared" si="3"/>
        <v/>
      </c>
      <c r="O23" s="590" t="str">
        <f t="shared" si="0"/>
        <v>Scope 3</v>
      </c>
      <c r="P23" s="674" t="str">
        <f t="shared" si="4"/>
        <v/>
      </c>
      <c r="Q23"/>
      <c r="R23" s="1297" t="str">
        <f t="shared" si="1"/>
        <v/>
      </c>
      <c r="S23" s="183" t="str" cm="1">
        <f t="array" ref="S23">IFERROR((_xlfn.IFS(B23="Landfill",(N23/'Carbon factors'!$DM$8),B23="Buried by staff",(N23/'Carbon factors'!$DM$8))),"")</f>
        <v/>
      </c>
      <c r="T23" s="1296" t="str">
        <f>IFERROR(((VLOOKUP(B23,'Carbon factors'!$FJ$8:$FN$15,5,0))*E23),"")</f>
        <v/>
      </c>
      <c r="U23"/>
      <c r="V23" s="545"/>
      <c r="W23" s="543" t="s">
        <v>208</v>
      </c>
      <c r="X23" s="543" t="s">
        <v>1045</v>
      </c>
      <c r="Y23" s="543"/>
    </row>
    <row r="24" spans="1:25" x14ac:dyDescent="0.35">
      <c r="A24" s="898"/>
      <c r="B24" s="579"/>
      <c r="C24" s="186"/>
      <c r="D24" s="179" t="s">
        <v>332</v>
      </c>
      <c r="E24" s="577"/>
      <c r="F24" s="186"/>
      <c r="G24" s="501" t="str" cm="1">
        <f t="array" ref="G24">IFERROR((_xlfn.IFS(F24=$Y$17,"3",F24=$Y$18,"2",F24=$Y$19,"1",F24=$Y$20,"1"))*E24,"")</f>
        <v/>
      </c>
      <c r="H24" s="168"/>
      <c r="I24" s="186"/>
      <c r="J24" s="183" t="str">
        <f>IFERROR(H24/VLOOKUP(I24,'$ Conversion'!$A$9:$B$40,2,0),"")</f>
        <v/>
      </c>
      <c r="K24" s="212"/>
      <c r="L24" s="1217">
        <f>IFERROR((E24),"")</f>
        <v>0</v>
      </c>
      <c r="M24" s="1407" t="str">
        <f>IFERROR(VLOOKUP($B24,'Carbon factors'!$FJ$8:$FL$15,3,0),"")</f>
        <v/>
      </c>
      <c r="N24" s="1295" t="str">
        <f t="shared" si="3"/>
        <v/>
      </c>
      <c r="O24" s="590" t="str">
        <f t="shared" si="0"/>
        <v>Scope 3</v>
      </c>
      <c r="P24" s="674" t="str">
        <f t="shared" si="4"/>
        <v/>
      </c>
      <c r="Q24"/>
      <c r="R24" s="1297" t="str">
        <f t="shared" si="1"/>
        <v/>
      </c>
      <c r="S24" s="183" t="str" cm="1">
        <f t="array" ref="S24">IFERROR((_xlfn.IFS(B24="Landfill",(N24/'Carbon factors'!$DM$8),B24="Buried by staff",(N24/'Carbon factors'!$DM$8))),"")</f>
        <v/>
      </c>
      <c r="T24" s="1296" t="str">
        <f>IFERROR(((VLOOKUP(B24,'Carbon factors'!$FJ$8:$FN$15,5,0))*E24),"")</f>
        <v/>
      </c>
      <c r="U24"/>
      <c r="V24" s="545"/>
      <c r="W24" s="543" t="s">
        <v>1046</v>
      </c>
      <c r="X24" s="543" t="s">
        <v>1047</v>
      </c>
      <c r="Y24" s="543"/>
    </row>
    <row r="25" spans="1:25" x14ac:dyDescent="0.35">
      <c r="A25" s="898"/>
      <c r="B25" s="579"/>
      <c r="C25" s="186"/>
      <c r="D25" s="179" t="s">
        <v>332</v>
      </c>
      <c r="E25" s="577"/>
      <c r="F25" s="186"/>
      <c r="G25" s="501" t="str" cm="1">
        <f t="array" ref="G25">IFERROR((_xlfn.IFS(F25=$Y$17,"3",F25=$Y$18,"2",F25=$Y$19,"1",F25=$Y$20,"1"))*E25,"")</f>
        <v/>
      </c>
      <c r="H25" s="168"/>
      <c r="I25" s="186"/>
      <c r="J25" s="183" t="str">
        <f>IFERROR(H25/VLOOKUP(I25,'$ Conversion'!$A$9:$B$40,2,0),"")</f>
        <v/>
      </c>
      <c r="K25" s="212"/>
      <c r="L25" s="1217">
        <f t="shared" si="2"/>
        <v>0</v>
      </c>
      <c r="M25" s="1407" t="str">
        <f>IFERROR(VLOOKUP($B25,'Carbon factors'!$FJ$8:$FL$15,3,0),"")</f>
        <v/>
      </c>
      <c r="N25" s="1295" t="str">
        <f t="shared" si="3"/>
        <v/>
      </c>
      <c r="O25" s="590" t="str">
        <f t="shared" si="0"/>
        <v>Scope 3</v>
      </c>
      <c r="P25" s="674" t="str">
        <f t="shared" si="4"/>
        <v/>
      </c>
      <c r="Q25"/>
      <c r="R25" s="1297" t="str">
        <f t="shared" si="1"/>
        <v/>
      </c>
      <c r="S25" s="183" t="str" cm="1">
        <f t="array" ref="S25">IFERROR((_xlfn.IFS(B25="Landfill",(N25/'Carbon factors'!$DM$8),B25="Buried by staff",(N25/'Carbon factors'!$DM$8))),"")</f>
        <v/>
      </c>
      <c r="T25" s="1296" t="str">
        <f>IFERROR(((VLOOKUP(B25,'Carbon factors'!$FJ$8:$FN$15,5,0))*E25),"")</f>
        <v/>
      </c>
      <c r="U25"/>
      <c r="V25" s="545"/>
      <c r="W25" s="543"/>
      <c r="X25" s="543" t="s">
        <v>1048</v>
      </c>
      <c r="Y25" s="543"/>
    </row>
    <row r="26" spans="1:25" x14ac:dyDescent="0.35">
      <c r="A26" s="898"/>
      <c r="B26" s="579"/>
      <c r="C26" s="186"/>
      <c r="D26" s="179" t="s">
        <v>332</v>
      </c>
      <c r="E26" s="577"/>
      <c r="F26" s="186"/>
      <c r="G26" s="501" t="str" cm="1">
        <f t="array" ref="G26">IFERROR((_xlfn.IFS(F26=$Y$17,"3",F26=$Y$18,"2",F26=$Y$19,"1",F26=$Y$20,"1"))*E26,"")</f>
        <v/>
      </c>
      <c r="H26" s="168"/>
      <c r="I26" s="186"/>
      <c r="J26" s="183" t="str">
        <f>IFERROR(H26/VLOOKUP(I26,'$ Conversion'!$A$9:$B$40,2,0),"")</f>
        <v/>
      </c>
      <c r="K26" s="212"/>
      <c r="L26" s="1217">
        <f t="shared" si="2"/>
        <v>0</v>
      </c>
      <c r="M26" s="1407" t="str">
        <f>IFERROR(VLOOKUP($B26,'Carbon factors'!$FJ$8:$FL$15,3,0),"")</f>
        <v/>
      </c>
      <c r="N26" s="1295" t="str">
        <f t="shared" si="3"/>
        <v/>
      </c>
      <c r="O26" s="590" t="str">
        <f t="shared" si="0"/>
        <v>Scope 3</v>
      </c>
      <c r="P26" s="674" t="str">
        <f t="shared" si="4"/>
        <v/>
      </c>
      <c r="Q26"/>
      <c r="R26" s="1297" t="str">
        <f t="shared" si="1"/>
        <v/>
      </c>
      <c r="S26" s="183" t="str" cm="1">
        <f t="array" ref="S26">IFERROR((_xlfn.IFS(B26="Landfill",(N26/'Carbon factors'!$DM$8),B26="Buried by staff",(N26/'Carbon factors'!$DM$8))),"")</f>
        <v/>
      </c>
      <c r="T26" s="1296" t="str">
        <f>IFERROR(((VLOOKUP(B26,'Carbon factors'!$FJ$8:$FN$15,5,0))*E26),"")</f>
        <v/>
      </c>
      <c r="U26"/>
      <c r="V26" s="545"/>
      <c r="W26" s="543"/>
      <c r="X26" s="543" t="s">
        <v>1049</v>
      </c>
      <c r="Y26" s="543"/>
    </row>
    <row r="27" spans="1:25" x14ac:dyDescent="0.35">
      <c r="A27" s="898"/>
      <c r="B27" s="579"/>
      <c r="C27" s="186"/>
      <c r="D27" s="179" t="s">
        <v>332</v>
      </c>
      <c r="E27" s="577"/>
      <c r="F27" s="186"/>
      <c r="G27" s="501" t="str" cm="1">
        <f t="array" ref="G27">IFERROR((_xlfn.IFS(F27=$Y$17,"3",F27=$Y$18,"2",F27=$Y$19,"1",F27=$Y$20,"1"))*E27,"")</f>
        <v/>
      </c>
      <c r="H27" s="168"/>
      <c r="I27" s="186"/>
      <c r="J27" s="183" t="str">
        <f>IFERROR(H27/VLOOKUP(I27,'$ Conversion'!$A$9:$B$40,2,0),"")</f>
        <v/>
      </c>
      <c r="K27" s="212"/>
      <c r="L27" s="1217">
        <f t="shared" si="2"/>
        <v>0</v>
      </c>
      <c r="M27" s="1407" t="str">
        <f>IFERROR(VLOOKUP($B27,'Carbon factors'!$FJ$8:$FL$15,3,0),"")</f>
        <v/>
      </c>
      <c r="N27" s="1295" t="str">
        <f t="shared" si="3"/>
        <v/>
      </c>
      <c r="O27" s="590" t="str">
        <f t="shared" si="0"/>
        <v>Scope 3</v>
      </c>
      <c r="P27" s="674" t="str">
        <f t="shared" si="4"/>
        <v/>
      </c>
      <c r="Q27"/>
      <c r="R27" s="1297" t="str">
        <f t="shared" si="1"/>
        <v/>
      </c>
      <c r="S27" s="183" t="str" cm="1">
        <f t="array" ref="S27">IFERROR((_xlfn.IFS(B27="Landfill",(N27/'Carbon factors'!$DM$8),B27="Buried by staff",(N27/'Carbon factors'!$DM$8))),"")</f>
        <v/>
      </c>
      <c r="T27" s="1296" t="str">
        <f>IFERROR(((VLOOKUP(B27,'Carbon factors'!$FJ$8:$FN$15,5,0))*E27),"")</f>
        <v/>
      </c>
      <c r="U27"/>
      <c r="V27" s="545"/>
      <c r="W27" s="543"/>
      <c r="X27" s="543" t="s">
        <v>1050</v>
      </c>
      <c r="Y27" s="543"/>
    </row>
    <row r="28" spans="1:25" x14ac:dyDescent="0.35">
      <c r="A28" s="898"/>
      <c r="B28" s="579"/>
      <c r="C28" s="186"/>
      <c r="D28" s="179" t="s">
        <v>332</v>
      </c>
      <c r="E28" s="577"/>
      <c r="F28" s="186"/>
      <c r="G28" s="501" t="str" cm="1">
        <f t="array" ref="G28">IFERROR((_xlfn.IFS(F28=$Y$17,"3",F28=$Y$18,"2",F28=$Y$19,"1",F28=$Y$20,"1"))*E28,"")</f>
        <v/>
      </c>
      <c r="H28" s="168"/>
      <c r="I28" s="186"/>
      <c r="J28" s="183" t="str">
        <f>IFERROR(H28/VLOOKUP(I28,'$ Conversion'!$A$9:$B$40,2,0),"")</f>
        <v/>
      </c>
      <c r="K28" s="212"/>
      <c r="L28" s="1217">
        <f t="shared" si="2"/>
        <v>0</v>
      </c>
      <c r="M28" s="1407" t="str">
        <f>IFERROR(VLOOKUP($B28,'Carbon factors'!$FJ$8:$FL$15,3,0),"")</f>
        <v/>
      </c>
      <c r="N28" s="1295" t="str">
        <f t="shared" si="3"/>
        <v/>
      </c>
      <c r="O28" s="590" t="str">
        <f t="shared" si="0"/>
        <v>Scope 3</v>
      </c>
      <c r="P28" s="674" t="str">
        <f t="shared" si="4"/>
        <v/>
      </c>
      <c r="Q28"/>
      <c r="R28" s="1297" t="str">
        <f t="shared" si="1"/>
        <v/>
      </c>
      <c r="S28" s="183" t="str" cm="1">
        <f t="array" ref="S28">IFERROR((_xlfn.IFS(B28="Landfill",(N28/'Carbon factors'!$DM$8),B28="Buried by staff",(N28/'Carbon factors'!$DM$8))),"")</f>
        <v/>
      </c>
      <c r="T28" s="1296" t="str">
        <f>IFERROR(((VLOOKUP(B28,'Carbon factors'!$FJ$8:$FN$15,5,0))*E28),"")</f>
        <v/>
      </c>
      <c r="U28"/>
      <c r="V28" s="545"/>
      <c r="W28" s="543"/>
      <c r="X28" s="543" t="s">
        <v>1051</v>
      </c>
      <c r="Y28" s="543"/>
    </row>
    <row r="29" spans="1:25" ht="15" thickBot="1" x14ac:dyDescent="0.4">
      <c r="A29" s="898"/>
      <c r="B29" s="579"/>
      <c r="C29" s="186"/>
      <c r="D29" s="179" t="s">
        <v>332</v>
      </c>
      <c r="E29" s="577"/>
      <c r="F29" s="186"/>
      <c r="G29" s="501" t="str" cm="1">
        <f t="array" ref="G29">IFERROR((_xlfn.IFS(F29=$Y$17,"3",F29=$Y$18,"2",F29=$Y$19,"1",F29=$Y$20,"1"))*E29,"")</f>
        <v/>
      </c>
      <c r="H29" s="168"/>
      <c r="I29" s="186"/>
      <c r="J29" s="183" t="str">
        <f>IFERROR(H29/VLOOKUP(I29,'$ Conversion'!$A$9:$B$40,2,0),"")</f>
        <v/>
      </c>
      <c r="K29" s="212"/>
      <c r="L29" s="1217">
        <f t="shared" si="2"/>
        <v>0</v>
      </c>
      <c r="M29" s="1407" t="str">
        <f>IFERROR(VLOOKUP($B29,'Carbon factors'!$FJ$8:$FL$15,3,0),"")</f>
        <v/>
      </c>
      <c r="N29" s="1295" t="str">
        <f t="shared" si="3"/>
        <v/>
      </c>
      <c r="O29" s="590" t="str">
        <f t="shared" si="0"/>
        <v>Scope 3</v>
      </c>
      <c r="P29" s="674" t="str">
        <f t="shared" si="4"/>
        <v/>
      </c>
      <c r="Q29"/>
      <c r="R29" s="1297" t="str">
        <f t="shared" si="1"/>
        <v/>
      </c>
      <c r="S29" s="183" t="str" cm="1">
        <f t="array" ref="S29">IFERROR((_xlfn.IFS(B29="Landfill",(N29/'Carbon factors'!$DM$8),B29="Buried by staff",(N29/'Carbon factors'!$DM$8))),"")</f>
        <v/>
      </c>
      <c r="T29" s="1296" t="str">
        <f>IFERROR(((VLOOKUP(B29,'Carbon factors'!$FJ$8:$FN$15,5,0))*E29),"")</f>
        <v/>
      </c>
      <c r="U29"/>
      <c r="V29" s="256"/>
      <c r="W29" s="250"/>
      <c r="X29" s="250"/>
      <c r="Y29" s="250"/>
    </row>
    <row r="30" spans="1:25" x14ac:dyDescent="0.35">
      <c r="A30" s="898"/>
      <c r="B30" s="579"/>
      <c r="C30" s="186"/>
      <c r="D30" s="179" t="s">
        <v>332</v>
      </c>
      <c r="E30" s="577"/>
      <c r="F30" s="186"/>
      <c r="G30" s="501" t="str" cm="1">
        <f t="array" ref="G30">IFERROR((_xlfn.IFS(F30=$Y$17,"3",F30=$Y$18,"2",F30=$Y$19,"1",F30=$Y$20,"1"))*E30,"")</f>
        <v/>
      </c>
      <c r="H30" s="168"/>
      <c r="I30" s="186"/>
      <c r="J30" s="183" t="str">
        <f>IFERROR(H30/VLOOKUP(I30,'$ Conversion'!$A$9:$B$40,2,0),"")</f>
        <v/>
      </c>
      <c r="K30" s="212"/>
      <c r="L30" s="1217">
        <f t="shared" ref="L30:L60" si="5">IFERROR((E30),"")</f>
        <v>0</v>
      </c>
      <c r="M30" s="1407" t="str">
        <f>IFERROR(VLOOKUP($B30,'Carbon factors'!$FJ$8:$FL$15,3,0),"")</f>
        <v/>
      </c>
      <c r="N30" s="1295" t="str">
        <f t="shared" ref="N30:N60" si="6">IFERROR((M30*E30),"")</f>
        <v/>
      </c>
      <c r="O30" s="590" t="str">
        <f t="shared" ref="O30:O60" si="7">IF((OR(B30="Incinerated:Off-site in owned incinerator", B30="Incinerated:On-site in owned incinerator",B30="Buried by staff")), "Scope 1", "Scope 3")</f>
        <v>Scope 3</v>
      </c>
      <c r="P30" s="674" t="str">
        <f t="shared" ref="P30:P60" si="8">IFERROR((J30*E30),"")</f>
        <v/>
      </c>
      <c r="Q30"/>
      <c r="R30" s="1297" t="str">
        <f t="shared" si="1"/>
        <v/>
      </c>
      <c r="S30" s="183" t="str" cm="1">
        <f t="array" ref="S30">IFERROR((_xlfn.IFS(B30="Landfill",(N30/'Carbon factors'!$DM$8),B30="Buried by staff",(N30/'Carbon factors'!$DM$8))),"")</f>
        <v/>
      </c>
      <c r="T30" s="1296" t="str">
        <f>IFERROR(((VLOOKUP(B30,'Carbon factors'!$FJ$8:$FN$15,5,0))*E30),"")</f>
        <v/>
      </c>
      <c r="U30"/>
    </row>
    <row r="31" spans="1:25" x14ac:dyDescent="0.35">
      <c r="A31" s="898"/>
      <c r="B31" s="579"/>
      <c r="C31" s="186"/>
      <c r="D31" s="179" t="s">
        <v>332</v>
      </c>
      <c r="E31" s="577"/>
      <c r="F31" s="186"/>
      <c r="G31" s="501" t="str" cm="1">
        <f t="array" ref="G31">IFERROR((_xlfn.IFS(F31=$Y$17,"3",F31=$Y$18,"2",F31=$Y$19,"1",F31=$Y$20,"1"))*E31,"")</f>
        <v/>
      </c>
      <c r="H31" s="168"/>
      <c r="I31" s="186"/>
      <c r="J31" s="183" t="str">
        <f>IFERROR(H31/VLOOKUP(I31,'$ Conversion'!$A$9:$B$40,2,0),"")</f>
        <v/>
      </c>
      <c r="K31" s="212"/>
      <c r="L31" s="1217">
        <f t="shared" si="5"/>
        <v>0</v>
      </c>
      <c r="M31" s="1407" t="str">
        <f>IFERROR(VLOOKUP($B31,'Carbon factors'!$FJ$8:$FL$15,3,0),"")</f>
        <v/>
      </c>
      <c r="N31" s="1295" t="str">
        <f t="shared" si="6"/>
        <v/>
      </c>
      <c r="O31" s="590" t="str">
        <f t="shared" si="7"/>
        <v>Scope 3</v>
      </c>
      <c r="P31" s="674" t="str">
        <f t="shared" si="8"/>
        <v/>
      </c>
      <c r="Q31"/>
      <c r="R31" s="1297" t="str">
        <f t="shared" si="1"/>
        <v/>
      </c>
      <c r="S31" s="183" t="str" cm="1">
        <f t="array" ref="S31">IFERROR((_xlfn.IFS(B31="Landfill",(N31/'Carbon factors'!$DM$8),B31="Buried by staff",(N31/'Carbon factors'!$DM$8))),"")</f>
        <v/>
      </c>
      <c r="T31" s="1296" t="str">
        <f>IFERROR(((VLOOKUP(B31,'Carbon factors'!$FJ$8:$FN$15,5,0))*E31),"")</f>
        <v/>
      </c>
      <c r="U31"/>
    </row>
    <row r="32" spans="1:25" x14ac:dyDescent="0.35">
      <c r="A32" s="898"/>
      <c r="B32" s="579"/>
      <c r="C32" s="186"/>
      <c r="D32" s="179" t="s">
        <v>332</v>
      </c>
      <c r="E32" s="577"/>
      <c r="F32" s="186"/>
      <c r="G32" s="501" t="str" cm="1">
        <f t="array" ref="G32">IFERROR((_xlfn.IFS(F32=$Y$17,"3",F32=$Y$18,"2",F32=$Y$19,"1",F32=$Y$20,"1"))*E32,"")</f>
        <v/>
      </c>
      <c r="H32" s="168"/>
      <c r="I32" s="186"/>
      <c r="J32" s="183" t="str">
        <f>IFERROR(H32/VLOOKUP(I32,'$ Conversion'!$A$9:$B$40,2,0),"")</f>
        <v/>
      </c>
      <c r="K32" s="212"/>
      <c r="L32" s="1217">
        <f t="shared" si="5"/>
        <v>0</v>
      </c>
      <c r="M32" s="1407" t="str">
        <f>IFERROR(VLOOKUP($B32,'Carbon factors'!$FJ$8:$FL$15,3,0),"")</f>
        <v/>
      </c>
      <c r="N32" s="1295" t="str">
        <f t="shared" si="6"/>
        <v/>
      </c>
      <c r="O32" s="590" t="str">
        <f t="shared" si="7"/>
        <v>Scope 3</v>
      </c>
      <c r="P32" s="674" t="str">
        <f t="shared" si="8"/>
        <v/>
      </c>
      <c r="Q32"/>
      <c r="R32" s="1297" t="str">
        <f t="shared" si="1"/>
        <v/>
      </c>
      <c r="S32" s="183" t="str" cm="1">
        <f t="array" ref="S32">IFERROR((_xlfn.IFS(B32="Landfill",(N32/'Carbon factors'!$DM$8),B32="Buried by staff",(N32/'Carbon factors'!$DM$8))),"")</f>
        <v/>
      </c>
      <c r="T32" s="1296" t="str">
        <f>IFERROR(((VLOOKUP(B32,'Carbon factors'!$FJ$8:$FN$15,5,0))*E32),"")</f>
        <v/>
      </c>
      <c r="U32"/>
    </row>
    <row r="33" spans="1:21" x14ac:dyDescent="0.35">
      <c r="A33" s="898"/>
      <c r="B33" s="579"/>
      <c r="C33" s="186"/>
      <c r="D33" s="179" t="s">
        <v>332</v>
      </c>
      <c r="E33" s="577"/>
      <c r="F33" s="186"/>
      <c r="G33" s="501" t="str" cm="1">
        <f t="array" ref="G33">IFERROR((_xlfn.IFS(F33=$Y$17,"3",F33=$Y$18,"2",F33=$Y$19,"1",F33=$Y$20,"1"))*E33,"")</f>
        <v/>
      </c>
      <c r="H33" s="168"/>
      <c r="I33" s="186"/>
      <c r="J33" s="183" t="str">
        <f>IFERROR(H33/VLOOKUP(I33,'$ Conversion'!$A$9:$B$40,2,0),"")</f>
        <v/>
      </c>
      <c r="K33" s="212"/>
      <c r="L33" s="1217">
        <f t="shared" si="5"/>
        <v>0</v>
      </c>
      <c r="M33" s="1407" t="str">
        <f>IFERROR(VLOOKUP($B33,'Carbon factors'!$FJ$8:$FL$15,3,0),"")</f>
        <v/>
      </c>
      <c r="N33" s="1295" t="str">
        <f t="shared" si="6"/>
        <v/>
      </c>
      <c r="O33" s="590" t="str">
        <f t="shared" si="7"/>
        <v>Scope 3</v>
      </c>
      <c r="P33" s="674" t="str">
        <f t="shared" si="8"/>
        <v/>
      </c>
      <c r="Q33"/>
      <c r="R33" s="1297" t="str">
        <f t="shared" si="1"/>
        <v/>
      </c>
      <c r="S33" s="183" t="str" cm="1">
        <f t="array" ref="S33">IFERROR((_xlfn.IFS(B33="Landfill",(N33/'Carbon factors'!$DM$8),B33="Buried by staff",(N33/'Carbon factors'!$DM$8))),"")</f>
        <v/>
      </c>
      <c r="T33" s="1296" t="str">
        <f>IFERROR(((VLOOKUP(B33,'Carbon factors'!$FJ$8:$FN$15,5,0))*E33),"")</f>
        <v/>
      </c>
      <c r="U33"/>
    </row>
    <row r="34" spans="1:21" x14ac:dyDescent="0.35">
      <c r="A34" s="898"/>
      <c r="B34" s="579"/>
      <c r="C34" s="186"/>
      <c r="D34" s="179" t="s">
        <v>332</v>
      </c>
      <c r="E34" s="577"/>
      <c r="F34" s="186"/>
      <c r="G34" s="501" t="str" cm="1">
        <f t="array" ref="G34">IFERROR((_xlfn.IFS(F34=$Y$17,"3",F34=$Y$18,"2",F34=$Y$19,"1",F34=$Y$20,"1"))*E34,"")</f>
        <v/>
      </c>
      <c r="H34" s="168"/>
      <c r="I34" s="186"/>
      <c r="J34" s="183" t="str">
        <f>IFERROR(H34/VLOOKUP(I34,'$ Conversion'!$A$9:$B$40,2,0),"")</f>
        <v/>
      </c>
      <c r="K34" s="212"/>
      <c r="L34" s="1217">
        <f t="shared" si="5"/>
        <v>0</v>
      </c>
      <c r="M34" s="1407" t="str">
        <f>IFERROR(VLOOKUP($B34,'Carbon factors'!$FJ$8:$FL$15,3,0),"")</f>
        <v/>
      </c>
      <c r="N34" s="1295" t="str">
        <f t="shared" si="6"/>
        <v/>
      </c>
      <c r="O34" s="590" t="str">
        <f t="shared" si="7"/>
        <v>Scope 3</v>
      </c>
      <c r="P34" s="674" t="str">
        <f t="shared" si="8"/>
        <v/>
      </c>
      <c r="Q34"/>
      <c r="R34" s="1297" t="str">
        <f t="shared" si="1"/>
        <v/>
      </c>
      <c r="S34" s="183" t="str" cm="1">
        <f t="array" ref="S34">IFERROR((_xlfn.IFS(B34="Landfill",(N34/'Carbon factors'!$DM$8),B34="Buried by staff",(N34/'Carbon factors'!$DM$8))),"")</f>
        <v/>
      </c>
      <c r="T34" s="1296" t="str">
        <f>IFERROR(((VLOOKUP(B34,'Carbon factors'!$FJ$8:$FN$15,5,0))*E34),"")</f>
        <v/>
      </c>
      <c r="U34"/>
    </row>
    <row r="35" spans="1:21" x14ac:dyDescent="0.35">
      <c r="A35" s="898"/>
      <c r="B35" s="579"/>
      <c r="C35" s="186"/>
      <c r="D35" s="179" t="s">
        <v>332</v>
      </c>
      <c r="E35" s="577"/>
      <c r="F35" s="186"/>
      <c r="G35" s="501" t="str" cm="1">
        <f t="array" ref="G35">IFERROR((_xlfn.IFS(F35=$Y$17,"3",F35=$Y$18,"2",F35=$Y$19,"1",F35=$Y$20,"1"))*E35,"")</f>
        <v/>
      </c>
      <c r="H35" s="168"/>
      <c r="I35" s="186"/>
      <c r="J35" s="183" t="str">
        <f>IFERROR(H35/VLOOKUP(I35,'$ Conversion'!$A$9:$B$40,2,0),"")</f>
        <v/>
      </c>
      <c r="K35" s="212"/>
      <c r="L35" s="1217">
        <f t="shared" si="5"/>
        <v>0</v>
      </c>
      <c r="M35" s="1407" t="str">
        <f>IFERROR(VLOOKUP($B35,'Carbon factors'!$FJ$8:$FL$15,3,0),"")</f>
        <v/>
      </c>
      <c r="N35" s="1295" t="str">
        <f t="shared" si="6"/>
        <v/>
      </c>
      <c r="O35" s="590" t="str">
        <f t="shared" si="7"/>
        <v>Scope 3</v>
      </c>
      <c r="P35" s="674" t="str">
        <f t="shared" si="8"/>
        <v/>
      </c>
      <c r="Q35"/>
      <c r="R35" s="1297" t="str">
        <f t="shared" si="1"/>
        <v/>
      </c>
      <c r="S35" s="183" t="str" cm="1">
        <f t="array" ref="S35">IFERROR((_xlfn.IFS(B35="Landfill",(N35/'Carbon factors'!$DM$8),B35="Buried by staff",(N35/'Carbon factors'!$DM$8))),"")</f>
        <v/>
      </c>
      <c r="T35" s="1296" t="str">
        <f>IFERROR(((VLOOKUP(B35,'Carbon factors'!$FJ$8:$FN$15,5,0))*E35),"")</f>
        <v/>
      </c>
      <c r="U35"/>
    </row>
    <row r="36" spans="1:21" x14ac:dyDescent="0.35">
      <c r="A36" s="898"/>
      <c r="B36" s="579"/>
      <c r="C36" s="186"/>
      <c r="D36" s="179" t="s">
        <v>332</v>
      </c>
      <c r="E36" s="577"/>
      <c r="F36" s="186"/>
      <c r="G36" s="501" t="str" cm="1">
        <f t="array" ref="G36">IFERROR((_xlfn.IFS(F36=$Y$17,"3",F36=$Y$18,"2",F36=$Y$19,"1",F36=$Y$20,"1"))*E36,"")</f>
        <v/>
      </c>
      <c r="H36" s="168"/>
      <c r="I36" s="186"/>
      <c r="J36" s="183" t="str">
        <f>IFERROR(H36/VLOOKUP(I36,'$ Conversion'!$A$9:$B$40,2,0),"")</f>
        <v/>
      </c>
      <c r="K36" s="212"/>
      <c r="L36" s="1217">
        <f t="shared" si="5"/>
        <v>0</v>
      </c>
      <c r="M36" s="1407" t="str">
        <f>IFERROR(VLOOKUP($B36,'Carbon factors'!$FJ$8:$FL$15,3,0),"")</f>
        <v/>
      </c>
      <c r="N36" s="1295" t="str">
        <f t="shared" si="6"/>
        <v/>
      </c>
      <c r="O36" s="590" t="str">
        <f t="shared" si="7"/>
        <v>Scope 3</v>
      </c>
      <c r="P36" s="674" t="str">
        <f t="shared" si="8"/>
        <v/>
      </c>
      <c r="Q36"/>
      <c r="R36" s="1297" t="str">
        <f t="shared" si="1"/>
        <v/>
      </c>
      <c r="S36" s="183" t="str" cm="1">
        <f t="array" ref="S36">IFERROR((_xlfn.IFS(B36="Landfill",(N36/'Carbon factors'!$DM$8),B36="Buried by staff",(N36/'Carbon factors'!$DM$8))),"")</f>
        <v/>
      </c>
      <c r="T36" s="1296" t="str">
        <f>IFERROR(((VLOOKUP(B36,'Carbon factors'!$FJ$8:$FN$15,5,0))*E36),"")</f>
        <v/>
      </c>
      <c r="U36"/>
    </row>
    <row r="37" spans="1:21" x14ac:dyDescent="0.35">
      <c r="A37" s="898"/>
      <c r="B37" s="579"/>
      <c r="C37" s="186"/>
      <c r="D37" s="179" t="s">
        <v>332</v>
      </c>
      <c r="E37" s="577"/>
      <c r="F37" s="186"/>
      <c r="G37" s="501" t="str" cm="1">
        <f t="array" ref="G37">IFERROR((_xlfn.IFS(F37=$Y$17,"3",F37=$Y$18,"2",F37=$Y$19,"1",F37=$Y$20,"1"))*E37,"")</f>
        <v/>
      </c>
      <c r="H37" s="168"/>
      <c r="I37" s="186"/>
      <c r="J37" s="183" t="str">
        <f>IFERROR(H37/VLOOKUP(I37,'$ Conversion'!$A$9:$B$40,2,0),"")</f>
        <v/>
      </c>
      <c r="K37" s="212"/>
      <c r="L37" s="1217">
        <f t="shared" si="5"/>
        <v>0</v>
      </c>
      <c r="M37" s="1407" t="str">
        <f>IFERROR(VLOOKUP($B37,'Carbon factors'!$FJ$8:$FL$15,3,0),"")</f>
        <v/>
      </c>
      <c r="N37" s="1295" t="str">
        <f t="shared" si="6"/>
        <v/>
      </c>
      <c r="O37" s="590" t="str">
        <f t="shared" si="7"/>
        <v>Scope 3</v>
      </c>
      <c r="P37" s="674" t="str">
        <f t="shared" si="8"/>
        <v/>
      </c>
      <c r="Q37"/>
      <c r="R37" s="1297" t="str">
        <f t="shared" si="1"/>
        <v/>
      </c>
      <c r="S37" s="183" t="str" cm="1">
        <f t="array" ref="S37">IFERROR((_xlfn.IFS(B37="Landfill",(N37/'Carbon factors'!$DM$8),B37="Buried by staff",(N37/'Carbon factors'!$DM$8))),"")</f>
        <v/>
      </c>
      <c r="T37" s="1296" t="str">
        <f>IFERROR(((VLOOKUP(B37,'Carbon factors'!$FJ$8:$FN$15,5,0))*E37),"")</f>
        <v/>
      </c>
      <c r="U37"/>
    </row>
    <row r="38" spans="1:21" x14ac:dyDescent="0.35">
      <c r="A38" s="898"/>
      <c r="B38" s="579"/>
      <c r="C38" s="186"/>
      <c r="D38" s="179" t="s">
        <v>332</v>
      </c>
      <c r="E38" s="577"/>
      <c r="F38" s="186"/>
      <c r="G38" s="501" t="str" cm="1">
        <f t="array" ref="G38">IFERROR((_xlfn.IFS(F38=$Y$17,"3",F38=$Y$18,"2",F38=$Y$19,"1",F38=$Y$20,"1"))*E38,"")</f>
        <v/>
      </c>
      <c r="H38" s="168"/>
      <c r="I38" s="186"/>
      <c r="J38" s="183" t="str">
        <f>IFERROR(H38/VLOOKUP(I38,'$ Conversion'!$A$9:$B$40,2,0),"")</f>
        <v/>
      </c>
      <c r="K38" s="212"/>
      <c r="L38" s="1217">
        <f t="shared" si="5"/>
        <v>0</v>
      </c>
      <c r="M38" s="1407" t="str">
        <f>IFERROR(VLOOKUP($B38,'Carbon factors'!$FJ$8:$FL$15,3,0),"")</f>
        <v/>
      </c>
      <c r="N38" s="1295" t="str">
        <f t="shared" si="6"/>
        <v/>
      </c>
      <c r="O38" s="590" t="str">
        <f t="shared" si="7"/>
        <v>Scope 3</v>
      </c>
      <c r="P38" s="674" t="str">
        <f t="shared" si="8"/>
        <v/>
      </c>
      <c r="Q38"/>
      <c r="R38" s="1297" t="str">
        <f t="shared" si="1"/>
        <v/>
      </c>
      <c r="S38" s="183" t="str" cm="1">
        <f t="array" ref="S38">IFERROR((_xlfn.IFS(B38="Landfill",(N38/'Carbon factors'!$DM$8),B38="Buried by staff",(N38/'Carbon factors'!$DM$8))),"")</f>
        <v/>
      </c>
      <c r="T38" s="1296" t="str">
        <f>IFERROR(((VLOOKUP(B38,'Carbon factors'!$FJ$8:$FN$15,5,0))*E38),"")</f>
        <v/>
      </c>
      <c r="U38"/>
    </row>
    <row r="39" spans="1:21" x14ac:dyDescent="0.35">
      <c r="A39" s="898"/>
      <c r="B39" s="579"/>
      <c r="C39" s="186"/>
      <c r="D39" s="179" t="s">
        <v>332</v>
      </c>
      <c r="E39" s="577"/>
      <c r="F39" s="186"/>
      <c r="G39" s="501" t="str" cm="1">
        <f t="array" ref="G39">IFERROR((_xlfn.IFS(F39=$Y$17,"3",F39=$Y$18,"2",F39=$Y$19,"1",F39=$Y$20,"1"))*E39,"")</f>
        <v/>
      </c>
      <c r="H39" s="168"/>
      <c r="I39" s="186"/>
      <c r="J39" s="183" t="str">
        <f>IFERROR(H39/VLOOKUP(I39,'$ Conversion'!$A$9:$B$40,2,0),"")</f>
        <v/>
      </c>
      <c r="K39" s="212"/>
      <c r="L39" s="1217">
        <f t="shared" si="5"/>
        <v>0</v>
      </c>
      <c r="M39" s="1407" t="str">
        <f>IFERROR(VLOOKUP($B39,'Carbon factors'!$FJ$8:$FL$15,3,0),"")</f>
        <v/>
      </c>
      <c r="N39" s="1295" t="str">
        <f t="shared" si="6"/>
        <v/>
      </c>
      <c r="O39" s="590" t="str">
        <f t="shared" si="7"/>
        <v>Scope 3</v>
      </c>
      <c r="P39" s="674" t="str">
        <f t="shared" si="8"/>
        <v/>
      </c>
      <c r="Q39"/>
      <c r="R39" s="1297" t="str">
        <f t="shared" si="1"/>
        <v/>
      </c>
      <c r="S39" s="183" t="str" cm="1">
        <f t="array" ref="S39">IFERROR((_xlfn.IFS(B39="Landfill",(N39/'Carbon factors'!$DM$8),B39="Buried by staff",(N39/'Carbon factors'!$DM$8))),"")</f>
        <v/>
      </c>
      <c r="T39" s="1296" t="str">
        <f>IFERROR(((VLOOKUP(B39,'Carbon factors'!$FJ$8:$FN$15,5,0))*E39),"")</f>
        <v/>
      </c>
      <c r="U39"/>
    </row>
    <row r="40" spans="1:21" x14ac:dyDescent="0.35">
      <c r="A40" s="898"/>
      <c r="B40" s="579"/>
      <c r="C40" s="186"/>
      <c r="D40" s="179" t="s">
        <v>332</v>
      </c>
      <c r="E40" s="577"/>
      <c r="F40" s="186"/>
      <c r="G40" s="501" t="str" cm="1">
        <f t="array" ref="G40">IFERROR((_xlfn.IFS(F40=$Y$17,"3",F40=$Y$18,"2",F40=$Y$19,"1",F40=$Y$20,"1"))*E40,"")</f>
        <v/>
      </c>
      <c r="H40" s="168"/>
      <c r="I40" s="186"/>
      <c r="J40" s="183" t="str">
        <f>IFERROR(H40/VLOOKUP(I40,'$ Conversion'!$A$9:$B$40,2,0),"")</f>
        <v/>
      </c>
      <c r="K40" s="212"/>
      <c r="L40" s="1217">
        <f t="shared" si="5"/>
        <v>0</v>
      </c>
      <c r="M40" s="1407" t="str">
        <f>IFERROR(VLOOKUP($B40,'Carbon factors'!$FJ$8:$FL$15,3,0),"")</f>
        <v/>
      </c>
      <c r="N40" s="1295" t="str">
        <f t="shared" si="6"/>
        <v/>
      </c>
      <c r="O40" s="590" t="str">
        <f t="shared" si="7"/>
        <v>Scope 3</v>
      </c>
      <c r="P40" s="674" t="str">
        <f t="shared" si="8"/>
        <v/>
      </c>
      <c r="Q40"/>
      <c r="R40" s="1297" t="str">
        <f t="shared" si="1"/>
        <v/>
      </c>
      <c r="S40" s="183" t="str" cm="1">
        <f t="array" ref="S40">IFERROR((_xlfn.IFS(B40="Landfill",(N40/'Carbon factors'!$DM$8),B40="Buried by staff",(N40/'Carbon factors'!$DM$8))),"")</f>
        <v/>
      </c>
      <c r="T40" s="1296" t="str">
        <f>IFERROR(((VLOOKUP(B40,'Carbon factors'!$FJ$8:$FN$15,5,0))*E40),"")</f>
        <v/>
      </c>
      <c r="U40"/>
    </row>
    <row r="41" spans="1:21" x14ac:dyDescent="0.35">
      <c r="A41" s="898"/>
      <c r="B41" s="579"/>
      <c r="C41" s="186"/>
      <c r="D41" s="179" t="s">
        <v>332</v>
      </c>
      <c r="E41" s="577"/>
      <c r="F41" s="186"/>
      <c r="G41" s="501" t="str" cm="1">
        <f t="array" ref="G41">IFERROR((_xlfn.IFS(F41=$Y$17,"3",F41=$Y$18,"2",F41=$Y$19,"1",F41=$Y$20,"1"))*E41,"")</f>
        <v/>
      </c>
      <c r="H41" s="168"/>
      <c r="I41" s="186"/>
      <c r="J41" s="183" t="str">
        <f>IFERROR(H41/VLOOKUP(I41,'$ Conversion'!$A$9:$B$40,2,0),"")</f>
        <v/>
      </c>
      <c r="K41" s="212"/>
      <c r="L41" s="1217">
        <f t="shared" si="5"/>
        <v>0</v>
      </c>
      <c r="M41" s="1407" t="str">
        <f>IFERROR(VLOOKUP($B41,'Carbon factors'!$FJ$8:$FL$15,3,0),"")</f>
        <v/>
      </c>
      <c r="N41" s="1295" t="str">
        <f t="shared" si="6"/>
        <v/>
      </c>
      <c r="O41" s="590" t="str">
        <f t="shared" si="7"/>
        <v>Scope 3</v>
      </c>
      <c r="P41" s="674" t="str">
        <f t="shared" si="8"/>
        <v/>
      </c>
      <c r="Q41"/>
      <c r="R41" s="1297" t="str">
        <f t="shared" si="1"/>
        <v/>
      </c>
      <c r="S41" s="183" t="str" cm="1">
        <f t="array" ref="S41">IFERROR((_xlfn.IFS(B41="Landfill",(N41/'Carbon factors'!$DM$8),B41="Buried by staff",(N41/'Carbon factors'!$DM$8))),"")</f>
        <v/>
      </c>
      <c r="T41" s="1296" t="str">
        <f>IFERROR(((VLOOKUP(B41,'Carbon factors'!$FJ$8:$FN$15,5,0))*E41),"")</f>
        <v/>
      </c>
      <c r="U41"/>
    </row>
    <row r="42" spans="1:21" x14ac:dyDescent="0.35">
      <c r="A42" s="898"/>
      <c r="B42" s="579"/>
      <c r="C42" s="186"/>
      <c r="D42" s="179" t="s">
        <v>332</v>
      </c>
      <c r="E42" s="577"/>
      <c r="F42" s="186"/>
      <c r="G42" s="501" t="str" cm="1">
        <f t="array" ref="G42">IFERROR((_xlfn.IFS(F42=$Y$17,"3",F42=$Y$18,"2",F42=$Y$19,"1",F42=$Y$20,"1"))*E42,"")</f>
        <v/>
      </c>
      <c r="H42" s="168"/>
      <c r="I42" s="186"/>
      <c r="J42" s="183" t="str">
        <f>IFERROR(H42/VLOOKUP(I42,'$ Conversion'!$A$9:$B$40,2,0),"")</f>
        <v/>
      </c>
      <c r="K42" s="212"/>
      <c r="L42" s="1217">
        <f t="shared" si="5"/>
        <v>0</v>
      </c>
      <c r="M42" s="1407" t="str">
        <f>IFERROR(VLOOKUP($B42,'Carbon factors'!$FJ$8:$FL$15,3,0),"")</f>
        <v/>
      </c>
      <c r="N42" s="1295" t="str">
        <f t="shared" si="6"/>
        <v/>
      </c>
      <c r="O42" s="590" t="str">
        <f t="shared" si="7"/>
        <v>Scope 3</v>
      </c>
      <c r="P42" s="674" t="str">
        <f t="shared" si="8"/>
        <v/>
      </c>
      <c r="Q42"/>
      <c r="R42" s="1297" t="str">
        <f t="shared" si="1"/>
        <v/>
      </c>
      <c r="S42" s="183" t="str" cm="1">
        <f t="array" ref="S42">IFERROR((_xlfn.IFS(B42="Landfill",(N42/'Carbon factors'!$DM$8),B42="Buried by staff",(N42/'Carbon factors'!$DM$8))),"")</f>
        <v/>
      </c>
      <c r="T42" s="1296" t="str">
        <f>IFERROR(((VLOOKUP(B42,'Carbon factors'!$FJ$8:$FN$15,5,0))*E42),"")</f>
        <v/>
      </c>
      <c r="U42"/>
    </row>
    <row r="43" spans="1:21" x14ac:dyDescent="0.35">
      <c r="A43" s="898"/>
      <c r="B43" s="579"/>
      <c r="C43" s="186"/>
      <c r="D43" s="179" t="s">
        <v>332</v>
      </c>
      <c r="E43" s="577"/>
      <c r="F43" s="186"/>
      <c r="G43" s="501" t="str" cm="1">
        <f t="array" ref="G43">IFERROR((_xlfn.IFS(F43=$Y$17,"3",F43=$Y$18,"2",F43=$Y$19,"1",F43=$Y$20,"1"))*E43,"")</f>
        <v/>
      </c>
      <c r="H43" s="168"/>
      <c r="I43" s="186"/>
      <c r="J43" s="183" t="str">
        <f>IFERROR(H43/VLOOKUP(I43,'$ Conversion'!$A$9:$B$40,2,0),"")</f>
        <v/>
      </c>
      <c r="K43" s="212"/>
      <c r="L43" s="1217">
        <f t="shared" si="5"/>
        <v>0</v>
      </c>
      <c r="M43" s="1407" t="str">
        <f>IFERROR(VLOOKUP($B43,'Carbon factors'!$FJ$8:$FL$15,3,0),"")</f>
        <v/>
      </c>
      <c r="N43" s="1295" t="str">
        <f t="shared" si="6"/>
        <v/>
      </c>
      <c r="O43" s="590" t="str">
        <f t="shared" si="7"/>
        <v>Scope 3</v>
      </c>
      <c r="P43" s="674" t="str">
        <f t="shared" si="8"/>
        <v/>
      </c>
      <c r="Q43"/>
      <c r="R43" s="1297" t="str">
        <f t="shared" si="1"/>
        <v/>
      </c>
      <c r="S43" s="183" t="str" cm="1">
        <f t="array" ref="S43">IFERROR((_xlfn.IFS(B43="Landfill",(N43/'Carbon factors'!$DM$8),B43="Buried by staff",(N43/'Carbon factors'!$DM$8))),"")</f>
        <v/>
      </c>
      <c r="T43" s="1296" t="str">
        <f>IFERROR(((VLOOKUP(B43,'Carbon factors'!$FJ$8:$FN$15,5,0))*E43),"")</f>
        <v/>
      </c>
      <c r="U43"/>
    </row>
    <row r="44" spans="1:21" x14ac:dyDescent="0.35">
      <c r="A44" s="898"/>
      <c r="B44" s="579"/>
      <c r="C44" s="186"/>
      <c r="D44" s="179" t="s">
        <v>332</v>
      </c>
      <c r="E44" s="577"/>
      <c r="F44" s="186"/>
      <c r="G44" s="501" t="str" cm="1">
        <f t="array" ref="G44">IFERROR((_xlfn.IFS(F44=$Y$17,"3",F44=$Y$18,"2",F44=$Y$19,"1",F44=$Y$20,"1"))*E44,"")</f>
        <v/>
      </c>
      <c r="H44" s="168"/>
      <c r="I44" s="186"/>
      <c r="J44" s="183" t="str">
        <f>IFERROR(H44/VLOOKUP(I44,'$ Conversion'!$A$9:$B$40,2,0),"")</f>
        <v/>
      </c>
      <c r="K44" s="212"/>
      <c r="L44" s="1217">
        <f t="shared" si="5"/>
        <v>0</v>
      </c>
      <c r="M44" s="1407" t="str">
        <f>IFERROR(VLOOKUP($B44,'Carbon factors'!$FJ$8:$FL$15,3,0),"")</f>
        <v/>
      </c>
      <c r="N44" s="1295" t="str">
        <f t="shared" si="6"/>
        <v/>
      </c>
      <c r="O44" s="590" t="str">
        <f t="shared" si="7"/>
        <v>Scope 3</v>
      </c>
      <c r="P44" s="674" t="str">
        <f t="shared" si="8"/>
        <v/>
      </c>
      <c r="Q44"/>
      <c r="R44" s="1297" t="str">
        <f t="shared" si="1"/>
        <v/>
      </c>
      <c r="S44" s="183" t="str" cm="1">
        <f t="array" ref="S44">IFERROR((_xlfn.IFS(B44="Landfill",(N44/'Carbon factors'!$DM$8),B44="Buried by staff",(N44/'Carbon factors'!$DM$8))),"")</f>
        <v/>
      </c>
      <c r="T44" s="1296" t="str">
        <f>IFERROR(((VLOOKUP(B44,'Carbon factors'!$FJ$8:$FN$15,5,0))*E44),"")</f>
        <v/>
      </c>
      <c r="U44"/>
    </row>
    <row r="45" spans="1:21" x14ac:dyDescent="0.35">
      <c r="A45" s="898"/>
      <c r="B45" s="579"/>
      <c r="C45" s="186"/>
      <c r="D45" s="179" t="s">
        <v>332</v>
      </c>
      <c r="E45" s="577"/>
      <c r="F45" s="186"/>
      <c r="G45" s="501" t="str" cm="1">
        <f t="array" ref="G45">IFERROR((_xlfn.IFS(F45=$Y$17,"3",F45=$Y$18,"2",F45=$Y$19,"1",F45=$Y$20,"1"))*E45,"")</f>
        <v/>
      </c>
      <c r="H45" s="168"/>
      <c r="I45" s="186"/>
      <c r="J45" s="183" t="str">
        <f>IFERROR(H45/VLOOKUP(I45,'$ Conversion'!$A$9:$B$40,2,0),"")</f>
        <v/>
      </c>
      <c r="K45" s="212"/>
      <c r="L45" s="1217">
        <f t="shared" si="5"/>
        <v>0</v>
      </c>
      <c r="M45" s="1407" t="str">
        <f>IFERROR(VLOOKUP($B45,'Carbon factors'!$FJ$8:$FL$15,3,0),"")</f>
        <v/>
      </c>
      <c r="N45" s="1295" t="str">
        <f t="shared" si="6"/>
        <v/>
      </c>
      <c r="O45" s="590" t="str">
        <f t="shared" si="7"/>
        <v>Scope 3</v>
      </c>
      <c r="P45" s="674" t="str">
        <f t="shared" si="8"/>
        <v/>
      </c>
      <c r="Q45"/>
      <c r="R45" s="1297" t="str">
        <f t="shared" si="1"/>
        <v/>
      </c>
      <c r="S45" s="183" t="str" cm="1">
        <f t="array" ref="S45">IFERROR((_xlfn.IFS(B45="Landfill",(N45/'Carbon factors'!$DM$8),B45="Buried by staff",(N45/'Carbon factors'!$DM$8))),"")</f>
        <v/>
      </c>
      <c r="T45" s="1296" t="str">
        <f>IFERROR(((VLOOKUP(B45,'Carbon factors'!$FJ$8:$FN$15,5,0))*E45),"")</f>
        <v/>
      </c>
      <c r="U45"/>
    </row>
    <row r="46" spans="1:21" x14ac:dyDescent="0.35">
      <c r="A46" s="898"/>
      <c r="B46" s="579"/>
      <c r="C46" s="186"/>
      <c r="D46" s="179" t="s">
        <v>332</v>
      </c>
      <c r="E46" s="577"/>
      <c r="F46" s="186"/>
      <c r="G46" s="501" t="str" cm="1">
        <f t="array" ref="G46">IFERROR((_xlfn.IFS(F46=$Y$17,"3",F46=$Y$18,"2",F46=$Y$19,"1",F46=$Y$20,"1"))*E46,"")</f>
        <v/>
      </c>
      <c r="H46" s="168"/>
      <c r="I46" s="186"/>
      <c r="J46" s="183" t="str">
        <f>IFERROR(H46/VLOOKUP(I46,'$ Conversion'!$A$9:$B$40,2,0),"")</f>
        <v/>
      </c>
      <c r="K46" s="212"/>
      <c r="L46" s="1217">
        <f t="shared" si="5"/>
        <v>0</v>
      </c>
      <c r="M46" s="1407" t="str">
        <f>IFERROR(VLOOKUP($B46,'Carbon factors'!$FJ$8:$FL$15,3,0),"")</f>
        <v/>
      </c>
      <c r="N46" s="1295" t="str">
        <f t="shared" si="6"/>
        <v/>
      </c>
      <c r="O46" s="590" t="str">
        <f t="shared" si="7"/>
        <v>Scope 3</v>
      </c>
      <c r="P46" s="674" t="str">
        <f t="shared" si="8"/>
        <v/>
      </c>
      <c r="Q46"/>
      <c r="R46" s="1297" t="str">
        <f t="shared" si="1"/>
        <v/>
      </c>
      <c r="S46" s="183" t="str" cm="1">
        <f t="array" ref="S46">IFERROR((_xlfn.IFS(B46="Landfill",(N46/'Carbon factors'!$DM$8),B46="Buried by staff",(N46/'Carbon factors'!$DM$8))),"")</f>
        <v/>
      </c>
      <c r="T46" s="1296" t="str">
        <f>IFERROR(((VLOOKUP(B46,'Carbon factors'!$FJ$8:$FN$15,5,0))*E46),"")</f>
        <v/>
      </c>
      <c r="U46"/>
    </row>
    <row r="47" spans="1:21" x14ac:dyDescent="0.35">
      <c r="A47" s="898"/>
      <c r="B47" s="579"/>
      <c r="C47" s="186"/>
      <c r="D47" s="179" t="s">
        <v>332</v>
      </c>
      <c r="E47" s="577"/>
      <c r="F47" s="186"/>
      <c r="G47" s="501" t="str" cm="1">
        <f t="array" ref="G47">IFERROR((_xlfn.IFS(F47=$Y$17,"3",F47=$Y$18,"2",F47=$Y$19,"1",F47=$Y$20,"1"))*E47,"")</f>
        <v/>
      </c>
      <c r="H47" s="168"/>
      <c r="I47" s="186"/>
      <c r="J47" s="183" t="str">
        <f>IFERROR(H47/VLOOKUP(I47,'$ Conversion'!$A$9:$B$40,2,0),"")</f>
        <v/>
      </c>
      <c r="K47" s="212"/>
      <c r="L47" s="1217">
        <f t="shared" si="5"/>
        <v>0</v>
      </c>
      <c r="M47" s="1407" t="str">
        <f>IFERROR(VLOOKUP($B47,'Carbon factors'!$FJ$8:$FL$15,3,0),"")</f>
        <v/>
      </c>
      <c r="N47" s="1295" t="str">
        <f t="shared" si="6"/>
        <v/>
      </c>
      <c r="O47" s="590" t="str">
        <f t="shared" si="7"/>
        <v>Scope 3</v>
      </c>
      <c r="P47" s="674" t="str">
        <f t="shared" si="8"/>
        <v/>
      </c>
      <c r="Q47"/>
      <c r="R47" s="1297" t="str">
        <f t="shared" si="1"/>
        <v/>
      </c>
      <c r="S47" s="183" t="str" cm="1">
        <f t="array" ref="S47">IFERROR((_xlfn.IFS(B47="Landfill",(N47/'Carbon factors'!$DM$8),B47="Buried by staff",(N47/'Carbon factors'!$DM$8))),"")</f>
        <v/>
      </c>
      <c r="T47" s="1296" t="str">
        <f>IFERROR(((VLOOKUP(B47,'Carbon factors'!$FJ$8:$FN$15,5,0))*E47),"")</f>
        <v/>
      </c>
      <c r="U47"/>
    </row>
    <row r="48" spans="1:21" x14ac:dyDescent="0.35">
      <c r="A48" s="898"/>
      <c r="B48" s="579"/>
      <c r="C48" s="186"/>
      <c r="D48" s="179" t="s">
        <v>332</v>
      </c>
      <c r="E48" s="577"/>
      <c r="F48" s="186"/>
      <c r="G48" s="501" t="str" cm="1">
        <f t="array" ref="G48">IFERROR((_xlfn.IFS(F48=$Y$17,"3",F48=$Y$18,"2",F48=$Y$19,"1",F48=$Y$20,"1"))*E48,"")</f>
        <v/>
      </c>
      <c r="H48" s="168"/>
      <c r="I48" s="186"/>
      <c r="J48" s="183" t="str">
        <f>IFERROR(H48/VLOOKUP(I48,'$ Conversion'!$A$9:$B$40,2,0),"")</f>
        <v/>
      </c>
      <c r="K48" s="212"/>
      <c r="L48" s="1217">
        <f t="shared" si="5"/>
        <v>0</v>
      </c>
      <c r="M48" s="1407" t="str">
        <f>IFERROR(VLOOKUP($B48,'Carbon factors'!$FJ$8:$FL$15,3,0),"")</f>
        <v/>
      </c>
      <c r="N48" s="1295" t="str">
        <f t="shared" si="6"/>
        <v/>
      </c>
      <c r="O48" s="590" t="str">
        <f t="shared" si="7"/>
        <v>Scope 3</v>
      </c>
      <c r="P48" s="674" t="str">
        <f t="shared" si="8"/>
        <v/>
      </c>
      <c r="Q48"/>
      <c r="R48" s="1297" t="str">
        <f t="shared" si="1"/>
        <v/>
      </c>
      <c r="S48" s="183" t="str" cm="1">
        <f t="array" ref="S48">IFERROR((_xlfn.IFS(B48="Landfill",(N48/'Carbon factors'!$DM$8),B48="Buried by staff",(N48/'Carbon factors'!$DM$8))),"")</f>
        <v/>
      </c>
      <c r="T48" s="1296" t="str">
        <f>IFERROR(((VLOOKUP(B48,'Carbon factors'!$FJ$8:$FN$15,5,0))*E48),"")</f>
        <v/>
      </c>
      <c r="U48"/>
    </row>
    <row r="49" spans="1:21" x14ac:dyDescent="0.35">
      <c r="A49" s="898"/>
      <c r="B49" s="579"/>
      <c r="C49" s="186"/>
      <c r="D49" s="179" t="s">
        <v>332</v>
      </c>
      <c r="E49" s="577"/>
      <c r="F49" s="186"/>
      <c r="G49" s="501" t="str" cm="1">
        <f t="array" ref="G49">IFERROR((_xlfn.IFS(F49=$Y$17,"3",F49=$Y$18,"2",F49=$Y$19,"1",F49=$Y$20,"1"))*E49,"")</f>
        <v/>
      </c>
      <c r="H49" s="168"/>
      <c r="I49" s="186"/>
      <c r="J49" s="183" t="str">
        <f>IFERROR(H49/VLOOKUP(I49,'$ Conversion'!$A$9:$B$40,2,0),"")</f>
        <v/>
      </c>
      <c r="K49" s="212"/>
      <c r="L49" s="1217">
        <f t="shared" si="5"/>
        <v>0</v>
      </c>
      <c r="M49" s="1407" t="str">
        <f>IFERROR(VLOOKUP($B49,'Carbon factors'!$FJ$8:$FL$15,3,0),"")</f>
        <v/>
      </c>
      <c r="N49" s="1295" t="str">
        <f t="shared" si="6"/>
        <v/>
      </c>
      <c r="O49" s="590" t="str">
        <f t="shared" si="7"/>
        <v>Scope 3</v>
      </c>
      <c r="P49" s="674" t="str">
        <f t="shared" si="8"/>
        <v/>
      </c>
      <c r="Q49"/>
      <c r="R49" s="1297" t="str">
        <f t="shared" si="1"/>
        <v/>
      </c>
      <c r="S49" s="183" t="str" cm="1">
        <f t="array" ref="S49">IFERROR((_xlfn.IFS(B49="Landfill",(N49/'Carbon factors'!$DM$8),B49="Buried by staff",(N49/'Carbon factors'!$DM$8))),"")</f>
        <v/>
      </c>
      <c r="T49" s="1296" t="str">
        <f>IFERROR(((VLOOKUP(B49,'Carbon factors'!$FJ$8:$FN$15,5,0))*E49),"")</f>
        <v/>
      </c>
      <c r="U49"/>
    </row>
    <row r="50" spans="1:21" x14ac:dyDescent="0.35">
      <c r="A50" s="898"/>
      <c r="B50" s="579"/>
      <c r="C50" s="186"/>
      <c r="D50" s="179" t="s">
        <v>332</v>
      </c>
      <c r="E50" s="577"/>
      <c r="F50" s="186"/>
      <c r="G50" s="501" t="str" cm="1">
        <f t="array" ref="G50">IFERROR((_xlfn.IFS(F50=$Y$17,"3",F50=$Y$18,"2",F50=$Y$19,"1",F50=$Y$20,"1"))*E50,"")</f>
        <v/>
      </c>
      <c r="H50" s="168"/>
      <c r="I50" s="186"/>
      <c r="J50" s="183" t="str">
        <f>IFERROR(H50/VLOOKUP(I50,'$ Conversion'!$A$9:$B$40,2,0),"")</f>
        <v/>
      </c>
      <c r="K50" s="212"/>
      <c r="L50" s="1217">
        <f t="shared" si="5"/>
        <v>0</v>
      </c>
      <c r="M50" s="1407" t="str">
        <f>IFERROR(VLOOKUP($B50,'Carbon factors'!$FJ$8:$FL$15,3,0),"")</f>
        <v/>
      </c>
      <c r="N50" s="1295" t="str">
        <f t="shared" si="6"/>
        <v/>
      </c>
      <c r="O50" s="590" t="str">
        <f t="shared" si="7"/>
        <v>Scope 3</v>
      </c>
      <c r="P50" s="674" t="str">
        <f t="shared" si="8"/>
        <v/>
      </c>
      <c r="Q50"/>
      <c r="R50" s="1297" t="str">
        <f t="shared" si="1"/>
        <v/>
      </c>
      <c r="S50" s="183" t="str" cm="1">
        <f t="array" ref="S50">IFERROR((_xlfn.IFS(B50="Landfill",(N50/'Carbon factors'!$DM$8),B50="Buried by staff",(N50/'Carbon factors'!$DM$8))),"")</f>
        <v/>
      </c>
      <c r="T50" s="1296" t="str">
        <f>IFERROR(((VLOOKUP(B50,'Carbon factors'!$FJ$8:$FN$15,5,0))*E50),"")</f>
        <v/>
      </c>
      <c r="U50"/>
    </row>
    <row r="51" spans="1:21" x14ac:dyDescent="0.35">
      <c r="A51" s="898"/>
      <c r="B51" s="579"/>
      <c r="C51" s="186"/>
      <c r="D51" s="179" t="s">
        <v>332</v>
      </c>
      <c r="E51" s="577"/>
      <c r="F51" s="186"/>
      <c r="G51" s="501" t="str" cm="1">
        <f t="array" ref="G51">IFERROR((_xlfn.IFS(F51=$Y$17,"3",F51=$Y$18,"2",F51=$Y$19,"1",F51=$Y$20,"1"))*E51,"")</f>
        <v/>
      </c>
      <c r="H51" s="168"/>
      <c r="I51" s="186"/>
      <c r="J51" s="183" t="str">
        <f>IFERROR(H51/VLOOKUP(I51,'$ Conversion'!$A$9:$B$40,2,0),"")</f>
        <v/>
      </c>
      <c r="K51" s="212"/>
      <c r="L51" s="1217">
        <f t="shared" si="5"/>
        <v>0</v>
      </c>
      <c r="M51" s="1407" t="str">
        <f>IFERROR(VLOOKUP($B51,'Carbon factors'!$FJ$8:$FL$15,3,0),"")</f>
        <v/>
      </c>
      <c r="N51" s="1295" t="str">
        <f t="shared" si="6"/>
        <v/>
      </c>
      <c r="O51" s="590" t="str">
        <f t="shared" si="7"/>
        <v>Scope 3</v>
      </c>
      <c r="P51" s="674" t="str">
        <f t="shared" si="8"/>
        <v/>
      </c>
      <c r="Q51"/>
      <c r="R51" s="1297" t="str">
        <f t="shared" si="1"/>
        <v/>
      </c>
      <c r="S51" s="183" t="str" cm="1">
        <f t="array" ref="S51">IFERROR((_xlfn.IFS(B51="Landfill",(N51/'Carbon factors'!$DM$8),B51="Buried by staff",(N51/'Carbon factors'!$DM$8))),"")</f>
        <v/>
      </c>
      <c r="T51" s="1296" t="str">
        <f>IFERROR(((VLOOKUP(B51,'Carbon factors'!$FJ$8:$FN$15,5,0))*E51),"")</f>
        <v/>
      </c>
      <c r="U51"/>
    </row>
    <row r="52" spans="1:21" x14ac:dyDescent="0.35">
      <c r="A52" s="898"/>
      <c r="B52" s="579"/>
      <c r="C52" s="186"/>
      <c r="D52" s="179" t="s">
        <v>332</v>
      </c>
      <c r="E52" s="577"/>
      <c r="F52" s="186"/>
      <c r="G52" s="501" t="str" cm="1">
        <f t="array" ref="G52">IFERROR((_xlfn.IFS(F52=$Y$17,"3",F52=$Y$18,"2",F52=$Y$19,"1",F52=$Y$20,"1"))*E52,"")</f>
        <v/>
      </c>
      <c r="H52" s="168"/>
      <c r="I52" s="186"/>
      <c r="J52" s="183" t="str">
        <f>IFERROR(H52/VLOOKUP(I52,'$ Conversion'!$A$9:$B$40,2,0),"")</f>
        <v/>
      </c>
      <c r="K52" s="212"/>
      <c r="L52" s="1217">
        <f t="shared" si="5"/>
        <v>0</v>
      </c>
      <c r="M52" s="1407" t="str">
        <f>IFERROR(VLOOKUP($B52,'Carbon factors'!$FJ$8:$FL$15,3,0),"")</f>
        <v/>
      </c>
      <c r="N52" s="1295" t="str">
        <f t="shared" si="6"/>
        <v/>
      </c>
      <c r="O52" s="590" t="str">
        <f t="shared" si="7"/>
        <v>Scope 3</v>
      </c>
      <c r="P52" s="674" t="str">
        <f t="shared" si="8"/>
        <v/>
      </c>
      <c r="Q52"/>
      <c r="R52" s="1297" t="str">
        <f t="shared" si="1"/>
        <v/>
      </c>
      <c r="S52" s="183" t="str" cm="1">
        <f t="array" ref="S52">IFERROR((_xlfn.IFS(B52="Landfill",(N52/'Carbon factors'!$DM$8),B52="Buried by staff",(N52/'Carbon factors'!$DM$8))),"")</f>
        <v/>
      </c>
      <c r="T52" s="1296" t="str">
        <f>IFERROR(((VLOOKUP(B52,'Carbon factors'!$FJ$8:$FN$15,5,0))*E52),"")</f>
        <v/>
      </c>
      <c r="U52"/>
    </row>
    <row r="53" spans="1:21" x14ac:dyDescent="0.35">
      <c r="A53" s="898"/>
      <c r="B53" s="579"/>
      <c r="C53" s="186"/>
      <c r="D53" s="179" t="s">
        <v>332</v>
      </c>
      <c r="E53" s="577"/>
      <c r="F53" s="186"/>
      <c r="G53" s="501" t="str" cm="1">
        <f t="array" ref="G53">IFERROR((_xlfn.IFS(F53=$Y$17,"3",F53=$Y$18,"2",F53=$Y$19,"1",F53=$Y$20,"1"))*E53,"")</f>
        <v/>
      </c>
      <c r="H53" s="168"/>
      <c r="I53" s="186"/>
      <c r="J53" s="183" t="str">
        <f>IFERROR(H53/VLOOKUP(I53,'$ Conversion'!$A$9:$B$40,2,0),"")</f>
        <v/>
      </c>
      <c r="K53" s="212"/>
      <c r="L53" s="1217">
        <f t="shared" si="5"/>
        <v>0</v>
      </c>
      <c r="M53" s="1407" t="str">
        <f>IFERROR(VLOOKUP($B53,'Carbon factors'!$FJ$8:$FL$15,3,0),"")</f>
        <v/>
      </c>
      <c r="N53" s="1295" t="str">
        <f t="shared" si="6"/>
        <v/>
      </c>
      <c r="O53" s="590" t="str">
        <f t="shared" si="7"/>
        <v>Scope 3</v>
      </c>
      <c r="P53" s="674" t="str">
        <f t="shared" si="8"/>
        <v/>
      </c>
      <c r="Q53"/>
      <c r="R53" s="1297" t="str">
        <f t="shared" si="1"/>
        <v/>
      </c>
      <c r="S53" s="183" t="str" cm="1">
        <f t="array" ref="S53">IFERROR((_xlfn.IFS(B53="Landfill",(N53/'Carbon factors'!$DM$8),B53="Buried by staff",(N53/'Carbon factors'!$DM$8))),"")</f>
        <v/>
      </c>
      <c r="T53" s="1296" t="str">
        <f>IFERROR(((VLOOKUP(B53,'Carbon factors'!$FJ$8:$FN$15,5,0))*E53),"")</f>
        <v/>
      </c>
      <c r="U53"/>
    </row>
    <row r="54" spans="1:21" x14ac:dyDescent="0.35">
      <c r="A54" s="898"/>
      <c r="B54" s="579"/>
      <c r="C54" s="186"/>
      <c r="D54" s="179" t="s">
        <v>332</v>
      </c>
      <c r="E54" s="577"/>
      <c r="F54" s="186"/>
      <c r="G54" s="501" t="str" cm="1">
        <f t="array" ref="G54">IFERROR((_xlfn.IFS(F54=$Y$17,"3",F54=$Y$18,"2",F54=$Y$19,"1",F54=$Y$20,"1"))*E54,"")</f>
        <v/>
      </c>
      <c r="H54" s="168"/>
      <c r="I54" s="186"/>
      <c r="J54" s="183" t="str">
        <f>IFERROR(H54/VLOOKUP(I54,'$ Conversion'!$A$9:$B$40,2,0),"")</f>
        <v/>
      </c>
      <c r="K54" s="212"/>
      <c r="L54" s="1217">
        <f t="shared" si="5"/>
        <v>0</v>
      </c>
      <c r="M54" s="1407" t="str">
        <f>IFERROR(VLOOKUP($B54,'Carbon factors'!$FJ$8:$FL$15,3,0),"")</f>
        <v/>
      </c>
      <c r="N54" s="1295" t="str">
        <f t="shared" si="6"/>
        <v/>
      </c>
      <c r="O54" s="590" t="str">
        <f t="shared" si="7"/>
        <v>Scope 3</v>
      </c>
      <c r="P54" s="674" t="str">
        <f t="shared" si="8"/>
        <v/>
      </c>
      <c r="Q54"/>
      <c r="R54" s="1297" t="str">
        <f t="shared" si="1"/>
        <v/>
      </c>
      <c r="S54" s="183" t="str" cm="1">
        <f t="array" ref="S54">IFERROR((_xlfn.IFS(B54="Landfill",(N54/'Carbon factors'!$DM$8),B54="Buried by staff",(N54/'Carbon factors'!$DM$8))),"")</f>
        <v/>
      </c>
      <c r="T54" s="1296" t="str">
        <f>IFERROR(((VLOOKUP(B54,'Carbon factors'!$FJ$8:$FN$15,5,0))*E54),"")</f>
        <v/>
      </c>
      <c r="U54"/>
    </row>
    <row r="55" spans="1:21" x14ac:dyDescent="0.35">
      <c r="A55" s="898"/>
      <c r="B55" s="579"/>
      <c r="C55" s="186"/>
      <c r="D55" s="179" t="s">
        <v>332</v>
      </c>
      <c r="E55" s="577"/>
      <c r="F55" s="186"/>
      <c r="G55" s="501" t="str" cm="1">
        <f t="array" ref="G55">IFERROR((_xlfn.IFS(F55=$Y$17,"3",F55=$Y$18,"2",F55=$Y$19,"1",F55=$Y$20,"1"))*E55,"")</f>
        <v/>
      </c>
      <c r="H55" s="168"/>
      <c r="I55" s="186"/>
      <c r="J55" s="183" t="str">
        <f>IFERROR(H55/VLOOKUP(I55,'$ Conversion'!$A$9:$B$40,2,0),"")</f>
        <v/>
      </c>
      <c r="K55" s="212"/>
      <c r="L55" s="1217">
        <f t="shared" si="5"/>
        <v>0</v>
      </c>
      <c r="M55" s="1407" t="str">
        <f>IFERROR(VLOOKUP($B55,'Carbon factors'!$FJ$8:$FL$15,3,0),"")</f>
        <v/>
      </c>
      <c r="N55" s="1295" t="str">
        <f t="shared" si="6"/>
        <v/>
      </c>
      <c r="O55" s="590" t="str">
        <f t="shared" si="7"/>
        <v>Scope 3</v>
      </c>
      <c r="P55" s="674" t="str">
        <f t="shared" si="8"/>
        <v/>
      </c>
      <c r="Q55"/>
      <c r="R55" s="1297" t="str">
        <f t="shared" si="1"/>
        <v/>
      </c>
      <c r="S55" s="183" t="str" cm="1">
        <f t="array" ref="S55">IFERROR((_xlfn.IFS(B55="Landfill",(N55/'Carbon factors'!$DM$8),B55="Buried by staff",(N55/'Carbon factors'!$DM$8))),"")</f>
        <v/>
      </c>
      <c r="T55" s="1296" t="str">
        <f>IFERROR(((VLOOKUP(B55,'Carbon factors'!$FJ$8:$FN$15,5,0))*E55),"")</f>
        <v/>
      </c>
      <c r="U55"/>
    </row>
    <row r="56" spans="1:21" x14ac:dyDescent="0.35">
      <c r="A56" s="898"/>
      <c r="B56" s="579"/>
      <c r="C56" s="186"/>
      <c r="D56" s="179" t="s">
        <v>332</v>
      </c>
      <c r="E56" s="577"/>
      <c r="F56" s="186"/>
      <c r="G56" s="501" t="str" cm="1">
        <f t="array" ref="G56">IFERROR((_xlfn.IFS(F56=$Y$17,"3",F56=$Y$18,"2",F56=$Y$19,"1",F56=$Y$20,"1"))*E56,"")</f>
        <v/>
      </c>
      <c r="H56" s="168"/>
      <c r="I56" s="186"/>
      <c r="J56" s="183" t="str">
        <f>IFERROR(H56/VLOOKUP(I56,'$ Conversion'!$A$9:$B$40,2,0),"")</f>
        <v/>
      </c>
      <c r="K56" s="212"/>
      <c r="L56" s="1217">
        <f t="shared" si="5"/>
        <v>0</v>
      </c>
      <c r="M56" s="1407" t="str">
        <f>IFERROR(VLOOKUP($B56,'Carbon factors'!$FJ$8:$FL$15,3,0),"")</f>
        <v/>
      </c>
      <c r="N56" s="1295" t="str">
        <f t="shared" si="6"/>
        <v/>
      </c>
      <c r="O56" s="590" t="str">
        <f t="shared" si="7"/>
        <v>Scope 3</v>
      </c>
      <c r="P56" s="674" t="str">
        <f t="shared" si="8"/>
        <v/>
      </c>
      <c r="Q56"/>
      <c r="R56" s="1297" t="str">
        <f t="shared" si="1"/>
        <v/>
      </c>
      <c r="S56" s="183" t="str" cm="1">
        <f t="array" ref="S56">IFERROR((_xlfn.IFS(B56="Landfill",(N56/'Carbon factors'!$DM$8),B56="Buried by staff",(N56/'Carbon factors'!$DM$8))),"")</f>
        <v/>
      </c>
      <c r="T56" s="1296" t="str">
        <f>IFERROR(((VLOOKUP(B56,'Carbon factors'!$FJ$8:$FN$15,5,0))*E56),"")</f>
        <v/>
      </c>
      <c r="U56"/>
    </row>
    <row r="57" spans="1:21" x14ac:dyDescent="0.35">
      <c r="A57" s="898"/>
      <c r="B57" s="579"/>
      <c r="C57" s="186"/>
      <c r="D57" s="179" t="s">
        <v>332</v>
      </c>
      <c r="E57" s="577"/>
      <c r="F57" s="186"/>
      <c r="G57" s="501" t="str" cm="1">
        <f t="array" ref="G57">IFERROR((_xlfn.IFS(F57=$Y$17,"3",F57=$Y$18,"2",F57=$Y$19,"1",F57=$Y$20,"1"))*E57,"")</f>
        <v/>
      </c>
      <c r="H57" s="168"/>
      <c r="I57" s="186"/>
      <c r="J57" s="183" t="str">
        <f>IFERROR(H57/VLOOKUP(I57,'$ Conversion'!$A$9:$B$40,2,0),"")</f>
        <v/>
      </c>
      <c r="K57" s="212"/>
      <c r="L57" s="1217">
        <f t="shared" si="5"/>
        <v>0</v>
      </c>
      <c r="M57" s="1407" t="str">
        <f>IFERROR(VLOOKUP($B57,'Carbon factors'!$FJ$8:$FL$15,3,0),"")</f>
        <v/>
      </c>
      <c r="N57" s="1295" t="str">
        <f t="shared" si="6"/>
        <v/>
      </c>
      <c r="O57" s="590" t="str">
        <f t="shared" si="7"/>
        <v>Scope 3</v>
      </c>
      <c r="P57" s="674" t="str">
        <f t="shared" si="8"/>
        <v/>
      </c>
      <c r="Q57"/>
      <c r="R57" s="1297" t="str">
        <f t="shared" si="1"/>
        <v/>
      </c>
      <c r="S57" s="183" t="str" cm="1">
        <f t="array" ref="S57">IFERROR((_xlfn.IFS(B57="Landfill",(N57/'Carbon factors'!$DM$8),B57="Buried by staff",(N57/'Carbon factors'!$DM$8))),"")</f>
        <v/>
      </c>
      <c r="T57" s="1296" t="str">
        <f>IFERROR(((VLOOKUP(B57,'Carbon factors'!$FJ$8:$FN$15,5,0))*E57),"")</f>
        <v/>
      </c>
      <c r="U57"/>
    </row>
    <row r="58" spans="1:21" x14ac:dyDescent="0.35">
      <c r="A58" s="898"/>
      <c r="B58" s="579"/>
      <c r="C58" s="186"/>
      <c r="D58" s="179" t="s">
        <v>332</v>
      </c>
      <c r="E58" s="577"/>
      <c r="F58" s="186"/>
      <c r="G58" s="501" t="str" cm="1">
        <f t="array" ref="G58">IFERROR((_xlfn.IFS(F58=$Y$17,"3",F58=$Y$18,"2",F58=$Y$19,"1",F58=$Y$20,"1"))*E58,"")</f>
        <v/>
      </c>
      <c r="H58" s="168"/>
      <c r="I58" s="186"/>
      <c r="J58" s="183" t="str">
        <f>IFERROR(H58/VLOOKUP(I58,'$ Conversion'!$A$9:$B$40,2,0),"")</f>
        <v/>
      </c>
      <c r="K58" s="212"/>
      <c r="L58" s="1217">
        <f t="shared" si="5"/>
        <v>0</v>
      </c>
      <c r="M58" s="1407" t="str">
        <f>IFERROR(VLOOKUP($B58,'Carbon factors'!$FJ$8:$FL$15,3,0),"")</f>
        <v/>
      </c>
      <c r="N58" s="1295" t="str">
        <f t="shared" si="6"/>
        <v/>
      </c>
      <c r="O58" s="590" t="str">
        <f t="shared" si="7"/>
        <v>Scope 3</v>
      </c>
      <c r="P58" s="674" t="str">
        <f t="shared" si="8"/>
        <v/>
      </c>
      <c r="Q58"/>
      <c r="R58" s="1297" t="str">
        <f t="shared" si="1"/>
        <v/>
      </c>
      <c r="S58" s="183" t="str" cm="1">
        <f t="array" ref="S58">IFERROR((_xlfn.IFS(B58="Landfill",(N58/'Carbon factors'!$DM$8),B58="Buried by staff",(N58/'Carbon factors'!$DM$8))),"")</f>
        <v/>
      </c>
      <c r="T58" s="1296" t="str">
        <f>IFERROR(((VLOOKUP(B58,'Carbon factors'!$FJ$8:$FN$15,5,0))*E58),"")</f>
        <v/>
      </c>
      <c r="U58"/>
    </row>
    <row r="59" spans="1:21" x14ac:dyDescent="0.35">
      <c r="A59" s="898"/>
      <c r="B59" s="579"/>
      <c r="C59" s="186"/>
      <c r="D59" s="179" t="s">
        <v>332</v>
      </c>
      <c r="E59" s="577"/>
      <c r="F59" s="186"/>
      <c r="G59" s="501" t="str" cm="1">
        <f t="array" ref="G59">IFERROR((_xlfn.IFS(F59=$Y$17,"3",F59=$Y$18,"2",F59=$Y$19,"1",F59=$Y$20,"1"))*E59,"")</f>
        <v/>
      </c>
      <c r="H59" s="168"/>
      <c r="I59" s="186"/>
      <c r="J59" s="183" t="str">
        <f>IFERROR(H59/VLOOKUP(I59,'$ Conversion'!$A$9:$B$40,2,0),"")</f>
        <v/>
      </c>
      <c r="K59" s="212"/>
      <c r="L59" s="1217">
        <f t="shared" si="5"/>
        <v>0</v>
      </c>
      <c r="M59" s="1407" t="str">
        <f>IFERROR(VLOOKUP($B59,'Carbon factors'!$FJ$8:$FL$15,3,0),"")</f>
        <v/>
      </c>
      <c r="N59" s="1295" t="str">
        <f t="shared" si="6"/>
        <v/>
      </c>
      <c r="O59" s="590" t="str">
        <f t="shared" si="7"/>
        <v>Scope 3</v>
      </c>
      <c r="P59" s="674" t="str">
        <f t="shared" si="8"/>
        <v/>
      </c>
      <c r="Q59"/>
      <c r="R59" s="1297" t="str">
        <f t="shared" si="1"/>
        <v/>
      </c>
      <c r="S59" s="183" t="str" cm="1">
        <f t="array" ref="S59">IFERROR((_xlfn.IFS(B59="Landfill",(N59/'Carbon factors'!$DM$8),B59="Buried by staff",(N59/'Carbon factors'!$DM$8))),"")</f>
        <v/>
      </c>
      <c r="T59" s="1296" t="str">
        <f>IFERROR(((VLOOKUP(B59,'Carbon factors'!$FJ$8:$FN$15,5,0))*E59),"")</f>
        <v/>
      </c>
      <c r="U59"/>
    </row>
    <row r="60" spans="1:21" x14ac:dyDescent="0.35">
      <c r="A60" s="898"/>
      <c r="B60" s="579"/>
      <c r="C60" s="186"/>
      <c r="D60" s="179" t="s">
        <v>332</v>
      </c>
      <c r="E60" s="577"/>
      <c r="F60" s="186"/>
      <c r="G60" s="501" t="str" cm="1">
        <f t="array" ref="G60">IFERROR((_xlfn.IFS(F60=$Y$17,"3",F60=$Y$18,"2",F60=$Y$19,"1",F60=$Y$20,"1"))*E60,"")</f>
        <v/>
      </c>
      <c r="H60" s="168"/>
      <c r="I60" s="186"/>
      <c r="J60" s="183" t="str">
        <f>IFERROR(H60/VLOOKUP(I60,'$ Conversion'!$A$9:$B$40,2,0),"")</f>
        <v/>
      </c>
      <c r="K60" s="212"/>
      <c r="L60" s="1217">
        <f t="shared" si="5"/>
        <v>0</v>
      </c>
      <c r="M60" s="1407" t="str">
        <f>IFERROR(VLOOKUP($B60,'Carbon factors'!$FJ$8:$FL$15,3,0),"")</f>
        <v/>
      </c>
      <c r="N60" s="1295" t="str">
        <f t="shared" si="6"/>
        <v/>
      </c>
      <c r="O60" s="590" t="str">
        <f t="shared" si="7"/>
        <v>Scope 3</v>
      </c>
      <c r="P60" s="674" t="str">
        <f t="shared" si="8"/>
        <v/>
      </c>
      <c r="Q60"/>
      <c r="R60" s="1297" t="str">
        <f t="shared" si="1"/>
        <v/>
      </c>
      <c r="S60" s="183" t="str" cm="1">
        <f t="array" ref="S60">IFERROR((_xlfn.IFS(B60="Landfill",(N60/'Carbon factors'!$DM$8),B60="Buried by staff",(N60/'Carbon factors'!$DM$8))),"")</f>
        <v/>
      </c>
      <c r="T60" s="1296" t="str">
        <f>IFERROR(((VLOOKUP(B60,'Carbon factors'!$FJ$8:$FN$15,5,0))*E60),"")</f>
        <v/>
      </c>
      <c r="U60"/>
    </row>
    <row r="61" spans="1:21" x14ac:dyDescent="0.35">
      <c r="A61" s="898"/>
      <c r="B61" s="579"/>
      <c r="C61" s="186"/>
      <c r="D61" s="179" t="s">
        <v>332</v>
      </c>
      <c r="E61" s="577"/>
      <c r="F61" s="186"/>
      <c r="G61" s="501" t="str" cm="1">
        <f t="array" ref="G61">IFERROR((_xlfn.IFS(F61=$Y$17,"3",F61=$Y$18,"2",F61=$Y$19,"1",F61=$Y$20,"1"))*E61,"")</f>
        <v/>
      </c>
      <c r="H61" s="168"/>
      <c r="I61" s="186"/>
      <c r="J61" s="183" t="str">
        <f>IFERROR(H61/VLOOKUP(I61,'$ Conversion'!$A$9:$B$40,2,0),"")</f>
        <v/>
      </c>
      <c r="K61" s="212"/>
      <c r="L61" s="1217">
        <f t="shared" si="2"/>
        <v>0</v>
      </c>
      <c r="M61" s="1407" t="str">
        <f>IFERROR(VLOOKUP($B61,'Carbon factors'!$FJ$8:$FL$15,3,0),"")</f>
        <v/>
      </c>
      <c r="N61" s="1295" t="str">
        <f t="shared" si="3"/>
        <v/>
      </c>
      <c r="O61" s="590" t="str">
        <f t="shared" si="0"/>
        <v>Scope 3</v>
      </c>
      <c r="P61" s="674" t="str">
        <f t="shared" si="4"/>
        <v/>
      </c>
      <c r="Q61"/>
      <c r="R61" s="1297" t="str">
        <f t="shared" si="1"/>
        <v/>
      </c>
      <c r="S61" s="183" t="str" cm="1">
        <f t="array" ref="S61">IFERROR((_xlfn.IFS(B61="Landfill",(N61/'Carbon factors'!$DM$8),B61="Buried by staff",(N61/'Carbon factors'!$DM$8))),"")</f>
        <v/>
      </c>
      <c r="T61" s="1296" t="str">
        <f>IFERROR(((VLOOKUP(B61,'Carbon factors'!$FJ$8:$FN$15,5,0))*E61),"")</f>
        <v/>
      </c>
      <c r="U61"/>
    </row>
    <row r="62" spans="1:21" x14ac:dyDescent="0.35">
      <c r="A62" s="898"/>
      <c r="B62" s="579"/>
      <c r="C62" s="186"/>
      <c r="D62" s="179" t="s">
        <v>332</v>
      </c>
      <c r="E62" s="577"/>
      <c r="F62" s="186"/>
      <c r="G62" s="501" t="str" cm="1">
        <f t="array" ref="G62">IFERROR((_xlfn.IFS(F62=$Y$17,"3",F62=$Y$18,"2",F62=$Y$19,"1",F62=$Y$20,"1"))*E62,"")</f>
        <v/>
      </c>
      <c r="H62" s="168"/>
      <c r="I62" s="186"/>
      <c r="J62" s="183" t="str">
        <f>IFERROR(H62/VLOOKUP(I62,'$ Conversion'!$A$9:$B$40,2,0),"")</f>
        <v/>
      </c>
      <c r="K62" s="212"/>
      <c r="L62" s="1217">
        <f t="shared" si="2"/>
        <v>0</v>
      </c>
      <c r="M62" s="1407" t="str">
        <f>IFERROR(VLOOKUP($B62,'Carbon factors'!$FJ$8:$FL$15,3,0),"")</f>
        <v/>
      </c>
      <c r="N62" s="1295" t="str">
        <f t="shared" si="3"/>
        <v/>
      </c>
      <c r="O62" s="590" t="str">
        <f t="shared" si="0"/>
        <v>Scope 3</v>
      </c>
      <c r="P62" s="674" t="str">
        <f t="shared" si="4"/>
        <v/>
      </c>
      <c r="Q62"/>
      <c r="R62" s="1297" t="str">
        <f t="shared" si="1"/>
        <v/>
      </c>
      <c r="S62" s="183" t="str" cm="1">
        <f t="array" ref="S62">IFERROR((_xlfn.IFS(B62="Landfill",(N62/'Carbon factors'!$DM$8),B62="Buried by staff",(N62/'Carbon factors'!$DM$8))),"")</f>
        <v/>
      </c>
      <c r="T62" s="1296" t="str">
        <f>IFERROR(((VLOOKUP(B62,'Carbon factors'!$FJ$8:$FN$15,5,0))*E62),"")</f>
        <v/>
      </c>
      <c r="U62"/>
    </row>
    <row r="63" spans="1:21" x14ac:dyDescent="0.35">
      <c r="A63" s="898"/>
      <c r="B63" s="579"/>
      <c r="C63" s="186"/>
      <c r="D63" s="179" t="s">
        <v>332</v>
      </c>
      <c r="E63" s="577"/>
      <c r="F63" s="186"/>
      <c r="G63" s="501" t="str" cm="1">
        <f t="array" ref="G63">IFERROR((_xlfn.IFS(F63=$Y$17,"3",F63=$Y$18,"2",F63=$Y$19,"1",F63=$Y$20,"1"))*E63,"")</f>
        <v/>
      </c>
      <c r="H63" s="168"/>
      <c r="I63" s="186"/>
      <c r="J63" s="183" t="str">
        <f>IFERROR(H63/VLOOKUP(I63,'$ Conversion'!$A$9:$B$40,2,0),"")</f>
        <v/>
      </c>
      <c r="K63" s="212"/>
      <c r="L63" s="1217">
        <f t="shared" si="2"/>
        <v>0</v>
      </c>
      <c r="M63" s="1407" t="str">
        <f>IFERROR(VLOOKUP($B63,'Carbon factors'!$FJ$8:$FL$15,3,0),"")</f>
        <v/>
      </c>
      <c r="N63" s="1295" t="str">
        <f t="shared" si="3"/>
        <v/>
      </c>
      <c r="O63" s="590" t="str">
        <f t="shared" si="0"/>
        <v>Scope 3</v>
      </c>
      <c r="P63" s="674" t="str">
        <f t="shared" si="4"/>
        <v/>
      </c>
      <c r="Q63"/>
      <c r="R63" s="1297" t="str">
        <f t="shared" si="1"/>
        <v/>
      </c>
      <c r="S63" s="183" t="str" cm="1">
        <f t="array" ref="S63">IFERROR((_xlfn.IFS(B63="Landfill",(N63/'Carbon factors'!$DM$8),B63="Buried by staff",(N63/'Carbon factors'!$DM$8))),"")</f>
        <v/>
      </c>
      <c r="T63" s="1296" t="str">
        <f>IFERROR(((VLOOKUP(B63,'Carbon factors'!$FJ$8:$FN$15,5,0))*E63),"")</f>
        <v/>
      </c>
      <c r="U63"/>
    </row>
    <row r="64" spans="1:21" x14ac:dyDescent="0.35">
      <c r="A64" s="898"/>
      <c r="B64" s="579"/>
      <c r="C64" s="186"/>
      <c r="D64" s="179" t="s">
        <v>332</v>
      </c>
      <c r="E64" s="577"/>
      <c r="F64" s="186"/>
      <c r="G64" s="501" t="str" cm="1">
        <f t="array" ref="G64">IFERROR((_xlfn.IFS(F64=$Y$17,"3",F64=$Y$18,"2",F64=$Y$19,"1",F64=$Y$20,"1"))*E64,"")</f>
        <v/>
      </c>
      <c r="H64" s="168"/>
      <c r="I64" s="186"/>
      <c r="J64" s="183" t="str">
        <f>IFERROR(H64/VLOOKUP(I64,'$ Conversion'!$A$9:$B$40,2,0),"")</f>
        <v/>
      </c>
      <c r="K64" s="212"/>
      <c r="L64" s="1217">
        <f t="shared" si="2"/>
        <v>0</v>
      </c>
      <c r="M64" s="1407" t="str">
        <f>IFERROR(VLOOKUP($B64,'Carbon factors'!$FJ$8:$FL$15,3,0),"")</f>
        <v/>
      </c>
      <c r="N64" s="1295" t="str">
        <f t="shared" si="3"/>
        <v/>
      </c>
      <c r="O64" s="590" t="str">
        <f t="shared" si="0"/>
        <v>Scope 3</v>
      </c>
      <c r="P64" s="674" t="str">
        <f t="shared" si="4"/>
        <v/>
      </c>
      <c r="Q64"/>
      <c r="R64" s="1297" t="str">
        <f t="shared" si="1"/>
        <v/>
      </c>
      <c r="S64" s="183" t="str" cm="1">
        <f t="array" ref="S64">IFERROR((_xlfn.IFS(B64="Landfill",(N64/'Carbon factors'!$DM$8),B64="Buried by staff",(N64/'Carbon factors'!$DM$8))),"")</f>
        <v/>
      </c>
      <c r="T64" s="1296" t="str">
        <f>IFERROR(((VLOOKUP(B64,'Carbon factors'!$FJ$8:$FN$15,5,0))*E64),"")</f>
        <v/>
      </c>
      <c r="U64"/>
    </row>
    <row r="65" spans="1:21" x14ac:dyDescent="0.35">
      <c r="A65" s="898"/>
      <c r="B65" s="579"/>
      <c r="C65" s="186"/>
      <c r="D65" s="179" t="s">
        <v>332</v>
      </c>
      <c r="E65" s="577"/>
      <c r="F65" s="186"/>
      <c r="G65" s="501" t="str" cm="1">
        <f t="array" ref="G65">IFERROR((_xlfn.IFS(F65=$Y$17,"3",F65=$Y$18,"2",F65=$Y$19,"1",F65=$Y$20,"1"))*E65,"")</f>
        <v/>
      </c>
      <c r="H65" s="168"/>
      <c r="I65" s="186"/>
      <c r="J65" s="183" t="str">
        <f>IFERROR(H65/VLOOKUP(I65,'$ Conversion'!$A$9:$B$40,2,0),"")</f>
        <v/>
      </c>
      <c r="K65" s="212"/>
      <c r="L65" s="1217">
        <f t="shared" si="2"/>
        <v>0</v>
      </c>
      <c r="M65" s="1407" t="str">
        <f>IFERROR(VLOOKUP($B65,'Carbon factors'!$FJ$8:$FL$15,3,0),"")</f>
        <v/>
      </c>
      <c r="N65" s="1295" t="str">
        <f t="shared" si="3"/>
        <v/>
      </c>
      <c r="O65" s="590" t="str">
        <f t="shared" si="0"/>
        <v>Scope 3</v>
      </c>
      <c r="P65" s="674" t="str">
        <f t="shared" si="4"/>
        <v/>
      </c>
      <c r="Q65"/>
      <c r="R65" s="1297" t="str">
        <f t="shared" si="1"/>
        <v/>
      </c>
      <c r="S65" s="183" t="str" cm="1">
        <f t="array" ref="S65">IFERROR((_xlfn.IFS(B65="Landfill",(N65/'Carbon factors'!$DM$8),B65="Buried by staff",(N65/'Carbon factors'!$DM$8))),"")</f>
        <v/>
      </c>
      <c r="T65" s="1296" t="str">
        <f>IFERROR(((VLOOKUP(B65,'Carbon factors'!$FJ$8:$FN$15,5,0))*E65),"")</f>
        <v/>
      </c>
      <c r="U65"/>
    </row>
    <row r="66" spans="1:21" x14ac:dyDescent="0.35">
      <c r="A66" s="898"/>
      <c r="B66" s="579"/>
      <c r="C66" s="186"/>
      <c r="D66" s="179" t="s">
        <v>332</v>
      </c>
      <c r="E66" s="577"/>
      <c r="F66" s="186"/>
      <c r="G66" s="501" t="str" cm="1">
        <f t="array" ref="G66">IFERROR((_xlfn.IFS(F66=$Y$17,"3",F66=$Y$18,"2",F66=$Y$19,"1",F66=$Y$20,"1"))*E66,"")</f>
        <v/>
      </c>
      <c r="H66" s="168"/>
      <c r="I66" s="186"/>
      <c r="J66" s="183" t="str">
        <f>IFERROR(H66/VLOOKUP(I66,'$ Conversion'!$A$9:$B$40,2,0),"")</f>
        <v/>
      </c>
      <c r="K66" s="212"/>
      <c r="L66" s="1217">
        <f t="shared" si="2"/>
        <v>0</v>
      </c>
      <c r="M66" s="1407" t="str">
        <f>IFERROR(VLOOKUP($B66,'Carbon factors'!$FJ$8:$FL$15,3,0),"")</f>
        <v/>
      </c>
      <c r="N66" s="1295" t="str">
        <f t="shared" si="3"/>
        <v/>
      </c>
      <c r="O66" s="590" t="str">
        <f t="shared" si="0"/>
        <v>Scope 3</v>
      </c>
      <c r="P66" s="674" t="str">
        <f t="shared" si="4"/>
        <v/>
      </c>
      <c r="Q66"/>
      <c r="R66" s="1297" t="str">
        <f t="shared" si="1"/>
        <v/>
      </c>
      <c r="S66" s="183" t="str" cm="1">
        <f t="array" ref="S66">IFERROR((_xlfn.IFS(B66="Landfill",(N66/'Carbon factors'!$DM$8),B66="Buried by staff",(N66/'Carbon factors'!$DM$8))),"")</f>
        <v/>
      </c>
      <c r="T66" s="1296" t="str">
        <f>IFERROR(((VLOOKUP(B66,'Carbon factors'!$FJ$8:$FN$15,5,0))*E66),"")</f>
        <v/>
      </c>
      <c r="U66"/>
    </row>
    <row r="67" spans="1:21" x14ac:dyDescent="0.35">
      <c r="A67" s="898"/>
      <c r="B67" s="579"/>
      <c r="C67" s="186"/>
      <c r="D67" s="179" t="s">
        <v>332</v>
      </c>
      <c r="E67" s="577"/>
      <c r="F67" s="186"/>
      <c r="G67" s="501" t="str" cm="1">
        <f t="array" ref="G67">IFERROR((_xlfn.IFS(F67=$Y$17,"3",F67=$Y$18,"2",F67=$Y$19,"1",F67=$Y$20,"1"))*E67,"")</f>
        <v/>
      </c>
      <c r="H67" s="168"/>
      <c r="I67" s="186"/>
      <c r="J67" s="183" t="str">
        <f>IFERROR(H67/VLOOKUP(I67,'$ Conversion'!$A$9:$B$40,2,0),"")</f>
        <v/>
      </c>
      <c r="K67" s="212"/>
      <c r="L67" s="1217">
        <f t="shared" si="2"/>
        <v>0</v>
      </c>
      <c r="M67" s="1407" t="str">
        <f>IFERROR(VLOOKUP($B67,'Carbon factors'!$FJ$8:$FL$15,3,0),"")</f>
        <v/>
      </c>
      <c r="N67" s="1295" t="str">
        <f t="shared" si="3"/>
        <v/>
      </c>
      <c r="O67" s="590" t="str">
        <f t="shared" si="0"/>
        <v>Scope 3</v>
      </c>
      <c r="P67" s="674" t="str">
        <f t="shared" si="4"/>
        <v/>
      </c>
      <c r="Q67"/>
      <c r="R67" s="1297" t="str">
        <f t="shared" si="1"/>
        <v/>
      </c>
      <c r="S67" s="183" t="str" cm="1">
        <f t="array" ref="S67">IFERROR((_xlfn.IFS(B67="Landfill",(N67/'Carbon factors'!$DM$8),B67="Buried by staff",(N67/'Carbon factors'!$DM$8))),"")</f>
        <v/>
      </c>
      <c r="T67" s="1296" t="str">
        <f>IFERROR(((VLOOKUP(B67,'Carbon factors'!$FJ$8:$FN$15,5,0))*E67),"")</f>
        <v/>
      </c>
      <c r="U67"/>
    </row>
    <row r="68" spans="1:21" x14ac:dyDescent="0.35">
      <c r="A68" s="898"/>
      <c r="B68" s="579"/>
      <c r="C68" s="186"/>
      <c r="D68" s="179" t="s">
        <v>332</v>
      </c>
      <c r="E68" s="577"/>
      <c r="F68" s="186"/>
      <c r="G68" s="501" t="str" cm="1">
        <f t="array" ref="G68">IFERROR((_xlfn.IFS(F68=$Y$17,"3",F68=$Y$18,"2",F68=$Y$19,"1",F68=$Y$20,"1"))*E68,"")</f>
        <v/>
      </c>
      <c r="H68" s="168"/>
      <c r="I68" s="186"/>
      <c r="J68" s="183" t="str">
        <f>IFERROR(H68/VLOOKUP(I68,'$ Conversion'!$A$9:$B$40,2,0),"")</f>
        <v/>
      </c>
      <c r="K68" s="212"/>
      <c r="L68" s="1217">
        <f t="shared" si="2"/>
        <v>0</v>
      </c>
      <c r="M68" s="1407" t="str">
        <f>IFERROR(VLOOKUP($B68,'Carbon factors'!$FJ$8:$FL$15,3,0),"")</f>
        <v/>
      </c>
      <c r="N68" s="1295" t="str">
        <f t="shared" si="3"/>
        <v/>
      </c>
      <c r="O68" s="590" t="str">
        <f t="shared" si="0"/>
        <v>Scope 3</v>
      </c>
      <c r="P68" s="674" t="str">
        <f t="shared" si="4"/>
        <v/>
      </c>
      <c r="Q68"/>
      <c r="R68" s="1297" t="str">
        <f t="shared" si="1"/>
        <v/>
      </c>
      <c r="S68" s="183" t="str" cm="1">
        <f t="array" ref="S68">IFERROR((_xlfn.IFS(B68="Landfill",(N68/'Carbon factors'!$DM$8),B68="Buried by staff",(N68/'Carbon factors'!$DM$8))),"")</f>
        <v/>
      </c>
      <c r="T68" s="1296" t="str">
        <f>IFERROR(((VLOOKUP(B68,'Carbon factors'!$FJ$8:$FN$15,5,0))*E68),"")</f>
        <v/>
      </c>
      <c r="U68"/>
    </row>
    <row r="69" spans="1:21" x14ac:dyDescent="0.35">
      <c r="A69" s="898"/>
      <c r="B69" s="579"/>
      <c r="C69" s="186"/>
      <c r="D69" s="179" t="s">
        <v>332</v>
      </c>
      <c r="E69" s="577"/>
      <c r="F69" s="186"/>
      <c r="G69" s="501" t="str" cm="1">
        <f t="array" ref="G69">IFERROR((_xlfn.IFS(F69=$Y$17,"3",F69=$Y$18,"2",F69=$Y$19,"1",F69=$Y$20,"1"))*E69,"")</f>
        <v/>
      </c>
      <c r="H69" s="168"/>
      <c r="I69" s="186"/>
      <c r="J69" s="183" t="str">
        <f>IFERROR(H69/VLOOKUP(I69,'$ Conversion'!$A$9:$B$40,2,0),"")</f>
        <v/>
      </c>
      <c r="K69" s="212"/>
      <c r="L69" s="1217">
        <f t="shared" si="2"/>
        <v>0</v>
      </c>
      <c r="M69" s="1407" t="str">
        <f>IFERROR(VLOOKUP($B69,'Carbon factors'!$FJ$8:$FL$15,3,0),"")</f>
        <v/>
      </c>
      <c r="N69" s="1295" t="str">
        <f t="shared" si="3"/>
        <v/>
      </c>
      <c r="O69" s="590" t="str">
        <f t="shared" si="0"/>
        <v>Scope 3</v>
      </c>
      <c r="P69" s="674" t="str">
        <f t="shared" si="4"/>
        <v/>
      </c>
      <c r="Q69"/>
      <c r="R69" s="1297" t="str">
        <f t="shared" si="1"/>
        <v/>
      </c>
      <c r="S69" s="183" t="str" cm="1">
        <f t="array" ref="S69">IFERROR((_xlfn.IFS(B69="Landfill",(N69/'Carbon factors'!$DM$8),B69="Buried by staff",(N69/'Carbon factors'!$DM$8))),"")</f>
        <v/>
      </c>
      <c r="T69" s="1296" t="str">
        <f>IFERROR(((VLOOKUP(B69,'Carbon factors'!$FJ$8:$FN$15,5,0))*E69),"")</f>
        <v/>
      </c>
      <c r="U69"/>
    </row>
    <row r="70" spans="1:21" x14ac:dyDescent="0.35">
      <c r="A70" s="898"/>
      <c r="B70" s="579"/>
      <c r="C70" s="186"/>
      <c r="D70" s="179" t="s">
        <v>332</v>
      </c>
      <c r="E70" s="577"/>
      <c r="F70" s="186"/>
      <c r="G70" s="501" t="str" cm="1">
        <f t="array" ref="G70">IFERROR((_xlfn.IFS(F70=$Y$17,"3",F70=$Y$18,"2",F70=$Y$19,"1",F70=$Y$20,"1"))*E70,"")</f>
        <v/>
      </c>
      <c r="H70" s="168"/>
      <c r="I70" s="186"/>
      <c r="J70" s="183" t="str">
        <f>IFERROR(H70/VLOOKUP(I70,'$ Conversion'!$A$9:$B$40,2,0),"")</f>
        <v/>
      </c>
      <c r="K70" s="212"/>
      <c r="L70" s="1217">
        <f t="shared" si="2"/>
        <v>0</v>
      </c>
      <c r="M70" s="1407" t="str">
        <f>IFERROR(VLOOKUP($B70,'Carbon factors'!$FJ$8:$FL$15,3,0),"")</f>
        <v/>
      </c>
      <c r="N70" s="1295" t="str">
        <f t="shared" si="3"/>
        <v/>
      </c>
      <c r="O70" s="590" t="str">
        <f t="shared" si="0"/>
        <v>Scope 3</v>
      </c>
      <c r="P70" s="674" t="str">
        <f t="shared" si="4"/>
        <v/>
      </c>
      <c r="Q70"/>
      <c r="R70" s="1297" t="str">
        <f t="shared" si="1"/>
        <v/>
      </c>
      <c r="S70" s="183" t="str" cm="1">
        <f t="array" ref="S70">IFERROR((_xlfn.IFS(B70="Landfill",(N70/'Carbon factors'!$DM$8),B70="Buried by staff",(N70/'Carbon factors'!$DM$8))),"")</f>
        <v/>
      </c>
      <c r="T70" s="1296" t="str">
        <f>IFERROR(((VLOOKUP(B70,'Carbon factors'!$FJ$8:$FN$15,5,0))*E70),"")</f>
        <v/>
      </c>
      <c r="U70"/>
    </row>
    <row r="71" spans="1:21" x14ac:dyDescent="0.35">
      <c r="A71" s="898"/>
      <c r="B71" s="579"/>
      <c r="C71" s="186"/>
      <c r="D71" s="179" t="s">
        <v>332</v>
      </c>
      <c r="E71" s="577"/>
      <c r="F71" s="186"/>
      <c r="G71" s="501" t="str" cm="1">
        <f t="array" ref="G71">IFERROR((_xlfn.IFS(F71=$Y$17,"3",F71=$Y$18,"2",F71=$Y$19,"1",F71=$Y$20,"1"))*E71,"")</f>
        <v/>
      </c>
      <c r="H71" s="168"/>
      <c r="I71" s="186"/>
      <c r="J71" s="183" t="str">
        <f>IFERROR(H71/VLOOKUP(I71,'$ Conversion'!$A$9:$B$40,2,0),"")</f>
        <v/>
      </c>
      <c r="K71" s="212"/>
      <c r="L71" s="1217">
        <f t="shared" si="2"/>
        <v>0</v>
      </c>
      <c r="M71" s="1407" t="str">
        <f>IFERROR(VLOOKUP($B71,'Carbon factors'!$FJ$8:$FL$15,3,0),"")</f>
        <v/>
      </c>
      <c r="N71" s="1295" t="str">
        <f t="shared" si="3"/>
        <v/>
      </c>
      <c r="O71" s="590" t="str">
        <f t="shared" si="0"/>
        <v>Scope 3</v>
      </c>
      <c r="P71" s="674" t="str">
        <f t="shared" si="4"/>
        <v/>
      </c>
      <c r="Q71"/>
      <c r="R71" s="1297" t="str">
        <f t="shared" si="1"/>
        <v/>
      </c>
      <c r="S71" s="183" t="str" cm="1">
        <f t="array" ref="S71">IFERROR((_xlfn.IFS(B71="Landfill",(N71/'Carbon factors'!$DM$8),B71="Buried by staff",(N71/'Carbon factors'!$DM$8))),"")</f>
        <v/>
      </c>
      <c r="T71" s="1296" t="str">
        <f>IFERROR(((VLOOKUP(B71,'Carbon factors'!$FJ$8:$FN$15,5,0))*E71),"")</f>
        <v/>
      </c>
      <c r="U71"/>
    </row>
    <row r="72" spans="1:21" x14ac:dyDescent="0.35">
      <c r="A72" s="898"/>
      <c r="B72" s="579"/>
      <c r="C72" s="186"/>
      <c r="D72" s="179" t="s">
        <v>332</v>
      </c>
      <c r="E72" s="577"/>
      <c r="F72" s="186"/>
      <c r="G72" s="501" t="str" cm="1">
        <f t="array" ref="G72">IFERROR((_xlfn.IFS(F72=$Y$17,"3",F72=$Y$18,"2",F72=$Y$19,"1",F72=$Y$20,"1"))*E72,"")</f>
        <v/>
      </c>
      <c r="H72" s="168"/>
      <c r="I72" s="186"/>
      <c r="J72" s="183" t="str">
        <f>IFERROR(H72/VLOOKUP(I72,'$ Conversion'!$A$9:$B$40,2,0),"")</f>
        <v/>
      </c>
      <c r="K72" s="212"/>
      <c r="L72" s="1217">
        <f t="shared" si="2"/>
        <v>0</v>
      </c>
      <c r="M72" s="1407" t="str">
        <f>IFERROR(VLOOKUP($B72,'Carbon factors'!$FJ$8:$FL$15,3,0),"")</f>
        <v/>
      </c>
      <c r="N72" s="1295" t="str">
        <f t="shared" si="3"/>
        <v/>
      </c>
      <c r="O72" s="590" t="str">
        <f t="shared" si="0"/>
        <v>Scope 3</v>
      </c>
      <c r="P72" s="674" t="str">
        <f t="shared" si="4"/>
        <v/>
      </c>
      <c r="Q72"/>
      <c r="R72" s="1297" t="str">
        <f t="shared" si="1"/>
        <v/>
      </c>
      <c r="S72" s="183" t="str" cm="1">
        <f t="array" ref="S72">IFERROR((_xlfn.IFS(B72="Landfill",(N72/'Carbon factors'!$DM$8),B72="Buried by staff",(N72/'Carbon factors'!$DM$8))),"")</f>
        <v/>
      </c>
      <c r="T72" s="1296" t="str">
        <f>IFERROR(((VLOOKUP(B72,'Carbon factors'!$FJ$8:$FN$15,5,0))*E72),"")</f>
        <v/>
      </c>
      <c r="U72"/>
    </row>
    <row r="73" spans="1:21" x14ac:dyDescent="0.35">
      <c r="A73" s="898"/>
      <c r="B73" s="579"/>
      <c r="C73" s="186"/>
      <c r="D73" s="179" t="s">
        <v>332</v>
      </c>
      <c r="E73" s="577"/>
      <c r="F73" s="186"/>
      <c r="G73" s="501" t="str" cm="1">
        <f t="array" ref="G73">IFERROR((_xlfn.IFS(F73=$Y$17,"3",F73=$Y$18,"2",F73=$Y$19,"1",F73=$Y$20,"1"))*E73,"")</f>
        <v/>
      </c>
      <c r="H73" s="168"/>
      <c r="I73" s="186"/>
      <c r="J73" s="183" t="str">
        <f>IFERROR(H73/VLOOKUP(I73,'$ Conversion'!$A$9:$B$40,2,0),"")</f>
        <v/>
      </c>
      <c r="K73" s="212"/>
      <c r="L73" s="1217">
        <f t="shared" si="2"/>
        <v>0</v>
      </c>
      <c r="M73" s="1407" t="str">
        <f>IFERROR(VLOOKUP($B73,'Carbon factors'!$FJ$8:$FL$15,3,0),"")</f>
        <v/>
      </c>
      <c r="N73" s="1295" t="str">
        <f t="shared" si="3"/>
        <v/>
      </c>
      <c r="O73" s="590" t="str">
        <f t="shared" si="0"/>
        <v>Scope 3</v>
      </c>
      <c r="P73" s="674" t="str">
        <f t="shared" si="4"/>
        <v/>
      </c>
      <c r="Q73"/>
      <c r="R73" s="1297" t="str">
        <f t="shared" si="1"/>
        <v/>
      </c>
      <c r="S73" s="183" t="str" cm="1">
        <f t="array" ref="S73">IFERROR((_xlfn.IFS(B73="Landfill",(N73/'Carbon factors'!$DM$8),B73="Buried by staff",(N73/'Carbon factors'!$DM$8))),"")</f>
        <v/>
      </c>
      <c r="T73" s="1296" t="str">
        <f>IFERROR(((VLOOKUP(B73,'Carbon factors'!$FJ$8:$FN$15,5,0))*E73),"")</f>
        <v/>
      </c>
      <c r="U73"/>
    </row>
    <row r="74" spans="1:21" x14ac:dyDescent="0.35">
      <c r="A74" s="898"/>
      <c r="B74" s="579"/>
      <c r="C74" s="186"/>
      <c r="D74" s="179" t="s">
        <v>332</v>
      </c>
      <c r="E74" s="577"/>
      <c r="F74" s="186"/>
      <c r="G74" s="501" t="str" cm="1">
        <f t="array" ref="G74">IFERROR((_xlfn.IFS(F74=$Y$17,"3",F74=$Y$18,"2",F74=$Y$19,"1",F74=$Y$20,"1"))*E74,"")</f>
        <v/>
      </c>
      <c r="H74" s="168"/>
      <c r="I74" s="186"/>
      <c r="J74" s="183" t="str">
        <f>IFERROR(H74/VLOOKUP(I74,'$ Conversion'!$A$9:$B$40,2,0),"")</f>
        <v/>
      </c>
      <c r="K74" s="212"/>
      <c r="L74" s="1217">
        <f t="shared" si="2"/>
        <v>0</v>
      </c>
      <c r="M74" s="1407" t="str">
        <f>IFERROR(VLOOKUP($B74,'Carbon factors'!$FJ$8:$FL$15,3,0),"")</f>
        <v/>
      </c>
      <c r="N74" s="1295" t="str">
        <f t="shared" si="3"/>
        <v/>
      </c>
      <c r="O74" s="590" t="str">
        <f t="shared" si="0"/>
        <v>Scope 3</v>
      </c>
      <c r="P74" s="674" t="str">
        <f t="shared" si="4"/>
        <v/>
      </c>
      <c r="Q74"/>
      <c r="R74" s="1297" t="str">
        <f t="shared" si="1"/>
        <v/>
      </c>
      <c r="S74" s="183" t="str" cm="1">
        <f t="array" ref="S74">IFERROR((_xlfn.IFS(B74="Landfill",(N74/'Carbon factors'!$DM$8),B74="Buried by staff",(N74/'Carbon factors'!$DM$8))),"")</f>
        <v/>
      </c>
      <c r="T74" s="1296" t="str">
        <f>IFERROR(((VLOOKUP(B74,'Carbon factors'!$FJ$8:$FN$15,5,0))*E74),"")</f>
        <v/>
      </c>
      <c r="U74"/>
    </row>
    <row r="75" spans="1:21" x14ac:dyDescent="0.35">
      <c r="A75" s="898"/>
      <c r="B75" s="579"/>
      <c r="C75" s="186"/>
      <c r="D75" s="179" t="s">
        <v>332</v>
      </c>
      <c r="E75" s="577"/>
      <c r="F75" s="186"/>
      <c r="G75" s="501" t="str" cm="1">
        <f t="array" ref="G75">IFERROR((_xlfn.IFS(F75=$Y$17,"3",F75=$Y$18,"2",F75=$Y$19,"1",F75=$Y$20,"1"))*E75,"")</f>
        <v/>
      </c>
      <c r="H75" s="168"/>
      <c r="I75" s="186"/>
      <c r="J75" s="183" t="str">
        <f>IFERROR(H75/VLOOKUP(I75,'$ Conversion'!$A$9:$B$40,2,0),"")</f>
        <v/>
      </c>
      <c r="K75" s="212"/>
      <c r="L75" s="1217">
        <f t="shared" ref="L75:L92" si="9">IFERROR((E75),"")</f>
        <v>0</v>
      </c>
      <c r="M75" s="1407" t="str">
        <f>IFERROR(VLOOKUP($B75,'Carbon factors'!$FJ$8:$FL$15,3,0),"")</f>
        <v/>
      </c>
      <c r="N75" s="1295" t="str">
        <f t="shared" ref="N75:N92" si="10">IFERROR((M75*E75),"")</f>
        <v/>
      </c>
      <c r="O75" s="590" t="str">
        <f t="shared" ref="O75:O92" si="11">IF((OR(B75="Incinerated:Off-site in owned incinerator", B75="Incinerated:On-site in owned incinerator",B75="Buried by staff")), "Scope 1", "Scope 3")</f>
        <v>Scope 3</v>
      </c>
      <c r="P75" s="674" t="str">
        <f t="shared" ref="P75:P92" si="12">IFERROR((J75*E75),"")</f>
        <v/>
      </c>
      <c r="Q75"/>
      <c r="R75" s="1297" t="str">
        <f t="shared" si="1"/>
        <v/>
      </c>
      <c r="S75" s="183" t="str" cm="1">
        <f t="array" ref="S75">IFERROR((_xlfn.IFS(B75="Landfill",(N75/'Carbon factors'!$DM$8),B75="Buried by staff",(N75/'Carbon factors'!$DM$8))),"")</f>
        <v/>
      </c>
      <c r="T75" s="1296" t="str">
        <f>IFERROR(((VLOOKUP(B75,'Carbon factors'!$FJ$8:$FN$15,5,0))*E75),"")</f>
        <v/>
      </c>
      <c r="U75"/>
    </row>
    <row r="76" spans="1:21" x14ac:dyDescent="0.35">
      <c r="A76" s="898"/>
      <c r="B76" s="579"/>
      <c r="C76" s="186"/>
      <c r="D76" s="179" t="s">
        <v>332</v>
      </c>
      <c r="E76" s="577"/>
      <c r="F76" s="186"/>
      <c r="G76" s="501" t="str" cm="1">
        <f t="array" ref="G76">IFERROR((_xlfn.IFS(F76=$Y$17,"3",F76=$Y$18,"2",F76=$Y$19,"1",F76=$Y$20,"1"))*E76,"")</f>
        <v/>
      </c>
      <c r="H76" s="168"/>
      <c r="I76" s="186"/>
      <c r="J76" s="183" t="str">
        <f>IFERROR(H76/VLOOKUP(I76,'$ Conversion'!$A$9:$B$40,2,0),"")</f>
        <v/>
      </c>
      <c r="K76" s="212"/>
      <c r="L76" s="1217">
        <f t="shared" si="9"/>
        <v>0</v>
      </c>
      <c r="M76" s="1407" t="str">
        <f>IFERROR(VLOOKUP($B76,'Carbon factors'!$FJ$8:$FL$15,3,0),"")</f>
        <v/>
      </c>
      <c r="N76" s="1295" t="str">
        <f t="shared" si="10"/>
        <v/>
      </c>
      <c r="O76" s="590" t="str">
        <f t="shared" si="11"/>
        <v>Scope 3</v>
      </c>
      <c r="P76" s="674" t="str">
        <f t="shared" si="12"/>
        <v/>
      </c>
      <c r="Q76"/>
      <c r="R76" s="1297" t="str">
        <f t="shared" si="1"/>
        <v/>
      </c>
      <c r="S76" s="183" t="str" cm="1">
        <f t="array" ref="S76">IFERROR((_xlfn.IFS(B76="Landfill",(N76/'Carbon factors'!$DM$8),B76="Buried by staff",(N76/'Carbon factors'!$DM$8))),"")</f>
        <v/>
      </c>
      <c r="T76" s="1296" t="str">
        <f>IFERROR(((VLOOKUP(B76,'Carbon factors'!$FJ$8:$FN$15,5,0))*E76),"")</f>
        <v/>
      </c>
      <c r="U76"/>
    </row>
    <row r="77" spans="1:21" x14ac:dyDescent="0.35">
      <c r="A77" s="898"/>
      <c r="B77" s="579"/>
      <c r="C77" s="186"/>
      <c r="D77" s="179" t="s">
        <v>332</v>
      </c>
      <c r="E77" s="577"/>
      <c r="F77" s="186"/>
      <c r="G77" s="501" t="str" cm="1">
        <f t="array" ref="G77">IFERROR((_xlfn.IFS(F77=$Y$17,"3",F77=$Y$18,"2",F77=$Y$19,"1",F77=$Y$20,"1"))*E77,"")</f>
        <v/>
      </c>
      <c r="H77" s="168"/>
      <c r="I77" s="186"/>
      <c r="J77" s="183" t="str">
        <f>IFERROR(H77/VLOOKUP(I77,'$ Conversion'!$A$9:$B$40,2,0),"")</f>
        <v/>
      </c>
      <c r="K77" s="212"/>
      <c r="L77" s="1217">
        <f t="shared" si="9"/>
        <v>0</v>
      </c>
      <c r="M77" s="1407" t="str">
        <f>IFERROR(VLOOKUP($B77,'Carbon factors'!$FJ$8:$FL$15,3,0),"")</f>
        <v/>
      </c>
      <c r="N77" s="1295" t="str">
        <f t="shared" si="10"/>
        <v/>
      </c>
      <c r="O77" s="590" t="str">
        <f t="shared" si="11"/>
        <v>Scope 3</v>
      </c>
      <c r="P77" s="674" t="str">
        <f t="shared" si="12"/>
        <v/>
      </c>
      <c r="Q77"/>
      <c r="R77" s="1297" t="str">
        <f t="shared" si="1"/>
        <v/>
      </c>
      <c r="S77" s="183" t="str" cm="1">
        <f t="array" ref="S77">IFERROR((_xlfn.IFS(B77="Landfill",(N77/'Carbon factors'!$DM$8),B77="Buried by staff",(N77/'Carbon factors'!$DM$8))),"")</f>
        <v/>
      </c>
      <c r="T77" s="1296" t="str">
        <f>IFERROR(((VLOOKUP(B77,'Carbon factors'!$FJ$8:$FN$15,5,0))*E77),"")</f>
        <v/>
      </c>
      <c r="U77"/>
    </row>
    <row r="78" spans="1:21" x14ac:dyDescent="0.35">
      <c r="A78" s="898"/>
      <c r="B78" s="579"/>
      <c r="C78" s="186"/>
      <c r="D78" s="179" t="s">
        <v>332</v>
      </c>
      <c r="E78" s="577"/>
      <c r="F78" s="186"/>
      <c r="G78" s="501" t="str" cm="1">
        <f t="array" ref="G78">IFERROR((_xlfn.IFS(F78=$Y$17,"3",F78=$Y$18,"2",F78=$Y$19,"1",F78=$Y$20,"1"))*E78,"")</f>
        <v/>
      </c>
      <c r="H78" s="168"/>
      <c r="I78" s="186"/>
      <c r="J78" s="183" t="str">
        <f>IFERROR(H78/VLOOKUP(I78,'$ Conversion'!$A$9:$B$40,2,0),"")</f>
        <v/>
      </c>
      <c r="K78" s="212"/>
      <c r="L78" s="1217">
        <f t="shared" si="9"/>
        <v>0</v>
      </c>
      <c r="M78" s="1407" t="str">
        <f>IFERROR(VLOOKUP($B78,'Carbon factors'!$FJ$8:$FL$15,3,0),"")</f>
        <v/>
      </c>
      <c r="N78" s="1295" t="str">
        <f t="shared" si="10"/>
        <v/>
      </c>
      <c r="O78" s="590" t="str">
        <f t="shared" si="11"/>
        <v>Scope 3</v>
      </c>
      <c r="P78" s="674" t="str">
        <f t="shared" si="12"/>
        <v/>
      </c>
      <c r="Q78"/>
      <c r="R78" s="1297" t="str">
        <f t="shared" si="1"/>
        <v/>
      </c>
      <c r="S78" s="183" t="str" cm="1">
        <f t="array" ref="S78">IFERROR((_xlfn.IFS(B78="Landfill",(N78/'Carbon factors'!$DM$8),B78="Buried by staff",(N78/'Carbon factors'!$DM$8))),"")</f>
        <v/>
      </c>
      <c r="T78" s="1296" t="str">
        <f>IFERROR(((VLOOKUP(B78,'Carbon factors'!$FJ$8:$FN$15,5,0))*E78),"")</f>
        <v/>
      </c>
      <c r="U78"/>
    </row>
    <row r="79" spans="1:21" x14ac:dyDescent="0.35">
      <c r="A79" s="898"/>
      <c r="B79" s="579"/>
      <c r="C79" s="186"/>
      <c r="D79" s="179" t="s">
        <v>332</v>
      </c>
      <c r="E79" s="577"/>
      <c r="F79" s="186"/>
      <c r="G79" s="501" t="str" cm="1">
        <f t="array" ref="G79">IFERROR((_xlfn.IFS(F79=$Y$17,"3",F79=$Y$18,"2",F79=$Y$19,"1",F79=$Y$20,"1"))*E79,"")</f>
        <v/>
      </c>
      <c r="H79" s="168"/>
      <c r="I79" s="186"/>
      <c r="J79" s="183" t="str">
        <f>IFERROR(H79/VLOOKUP(I79,'$ Conversion'!$A$9:$B$40,2,0),"")</f>
        <v/>
      </c>
      <c r="K79" s="212"/>
      <c r="L79" s="1217">
        <f t="shared" si="9"/>
        <v>0</v>
      </c>
      <c r="M79" s="1407" t="str">
        <f>IFERROR(VLOOKUP($B79,'Carbon factors'!$FJ$8:$FL$15,3,0),"")</f>
        <v/>
      </c>
      <c r="N79" s="1295" t="str">
        <f t="shared" si="10"/>
        <v/>
      </c>
      <c r="O79" s="590" t="str">
        <f t="shared" si="11"/>
        <v>Scope 3</v>
      </c>
      <c r="P79" s="674" t="str">
        <f t="shared" si="12"/>
        <v/>
      </c>
      <c r="Q79"/>
      <c r="R79" s="1297" t="str">
        <f t="shared" si="1"/>
        <v/>
      </c>
      <c r="S79" s="183" t="str" cm="1">
        <f t="array" ref="S79">IFERROR((_xlfn.IFS(B79="Landfill",(N79/'Carbon factors'!$DM$8),B79="Buried by staff",(N79/'Carbon factors'!$DM$8))),"")</f>
        <v/>
      </c>
      <c r="T79" s="1296" t="str">
        <f>IFERROR(((VLOOKUP(B79,'Carbon factors'!$FJ$8:$FN$15,5,0))*E79),"")</f>
        <v/>
      </c>
      <c r="U79"/>
    </row>
    <row r="80" spans="1:21" x14ac:dyDescent="0.35">
      <c r="A80" s="898"/>
      <c r="B80" s="579"/>
      <c r="C80" s="186"/>
      <c r="D80" s="179" t="s">
        <v>332</v>
      </c>
      <c r="E80" s="577"/>
      <c r="F80" s="186"/>
      <c r="G80" s="501" t="str" cm="1">
        <f t="array" ref="G80">IFERROR((_xlfn.IFS(F80=$Y$17,"3",F80=$Y$18,"2",F80=$Y$19,"1",F80=$Y$20,"1"))*E80,"")</f>
        <v/>
      </c>
      <c r="H80" s="168"/>
      <c r="I80" s="186"/>
      <c r="J80" s="183" t="str">
        <f>IFERROR(H80/VLOOKUP(I80,'$ Conversion'!$A$9:$B$40,2,0),"")</f>
        <v/>
      </c>
      <c r="K80" s="212"/>
      <c r="L80" s="1217">
        <f t="shared" si="9"/>
        <v>0</v>
      </c>
      <c r="M80" s="1407" t="str">
        <f>IFERROR(VLOOKUP($B80,'Carbon factors'!$FJ$8:$FL$15,3,0),"")</f>
        <v/>
      </c>
      <c r="N80" s="1295" t="str">
        <f t="shared" si="10"/>
        <v/>
      </c>
      <c r="O80" s="590" t="str">
        <f t="shared" si="11"/>
        <v>Scope 3</v>
      </c>
      <c r="P80" s="674" t="str">
        <f t="shared" si="12"/>
        <v/>
      </c>
      <c r="Q80"/>
      <c r="R80" s="1297" t="str">
        <f t="shared" si="1"/>
        <v/>
      </c>
      <c r="S80" s="183" t="str" cm="1">
        <f t="array" ref="S80">IFERROR((_xlfn.IFS(B80="Landfill",(N80/'Carbon factors'!$DM$8),B80="Buried by staff",(N80/'Carbon factors'!$DM$8))),"")</f>
        <v/>
      </c>
      <c r="T80" s="1296" t="str">
        <f>IFERROR(((VLOOKUP(B80,'Carbon factors'!$FJ$8:$FN$15,5,0))*E80),"")</f>
        <v/>
      </c>
      <c r="U80"/>
    </row>
    <row r="81" spans="1:21" x14ac:dyDescent="0.35">
      <c r="A81" s="898"/>
      <c r="B81" s="579"/>
      <c r="C81" s="186"/>
      <c r="D81" s="179" t="s">
        <v>332</v>
      </c>
      <c r="E81" s="577"/>
      <c r="F81" s="186"/>
      <c r="G81" s="501" t="str" cm="1">
        <f t="array" ref="G81">IFERROR((_xlfn.IFS(F81=$Y$17,"3",F81=$Y$18,"2",F81=$Y$19,"1",F81=$Y$20,"1"))*E81,"")</f>
        <v/>
      </c>
      <c r="H81" s="168"/>
      <c r="I81" s="186"/>
      <c r="J81" s="183" t="str">
        <f>IFERROR(H81/VLOOKUP(I81,'$ Conversion'!$A$9:$B$40,2,0),"")</f>
        <v/>
      </c>
      <c r="K81" s="212"/>
      <c r="L81" s="1217">
        <f t="shared" si="9"/>
        <v>0</v>
      </c>
      <c r="M81" s="1407" t="str">
        <f>IFERROR(VLOOKUP($B81,'Carbon factors'!$FJ$8:$FL$15,3,0),"")</f>
        <v/>
      </c>
      <c r="N81" s="1295" t="str">
        <f t="shared" si="10"/>
        <v/>
      </c>
      <c r="O81" s="590" t="str">
        <f t="shared" si="11"/>
        <v>Scope 3</v>
      </c>
      <c r="P81" s="674" t="str">
        <f t="shared" si="12"/>
        <v/>
      </c>
      <c r="Q81"/>
      <c r="R81" s="1297" t="str">
        <f t="shared" si="1"/>
        <v/>
      </c>
      <c r="S81" s="183" t="str" cm="1">
        <f t="array" ref="S81">IFERROR((_xlfn.IFS(B81="Landfill",(N81/'Carbon factors'!$DM$8),B81="Buried by staff",(N81/'Carbon factors'!$DM$8))),"")</f>
        <v/>
      </c>
      <c r="T81" s="1296" t="str">
        <f>IFERROR(((VLOOKUP(B81,'Carbon factors'!$FJ$8:$FN$15,5,0))*E81),"")</f>
        <v/>
      </c>
      <c r="U81"/>
    </row>
    <row r="82" spans="1:21" x14ac:dyDescent="0.35">
      <c r="A82" s="898"/>
      <c r="B82" s="579"/>
      <c r="C82" s="186"/>
      <c r="D82" s="179" t="s">
        <v>332</v>
      </c>
      <c r="E82" s="577"/>
      <c r="F82" s="186"/>
      <c r="G82" s="501" t="str" cm="1">
        <f t="array" ref="G82">IFERROR((_xlfn.IFS(F82=$Y$17,"3",F82=$Y$18,"2",F82=$Y$19,"1",F82=$Y$20,"1"))*E82,"")</f>
        <v/>
      </c>
      <c r="H82" s="168"/>
      <c r="I82" s="186"/>
      <c r="J82" s="183" t="str">
        <f>IFERROR(H82/VLOOKUP(I82,'$ Conversion'!$A$9:$B$40,2,0),"")</f>
        <v/>
      </c>
      <c r="K82" s="212"/>
      <c r="L82" s="1217">
        <f t="shared" si="9"/>
        <v>0</v>
      </c>
      <c r="M82" s="1407" t="str">
        <f>IFERROR(VLOOKUP($B82,'Carbon factors'!$FJ$8:$FL$15,3,0),"")</f>
        <v/>
      </c>
      <c r="N82" s="1295" t="str">
        <f t="shared" si="10"/>
        <v/>
      </c>
      <c r="O82" s="590" t="str">
        <f t="shared" si="11"/>
        <v>Scope 3</v>
      </c>
      <c r="P82" s="674" t="str">
        <f t="shared" si="12"/>
        <v/>
      </c>
      <c r="Q82"/>
      <c r="R82" s="1297" t="str">
        <f t="shared" ref="R82:R108" si="13">IFERROR(((E82*M82)-((SUM(S82,T82)))),"")</f>
        <v/>
      </c>
      <c r="S82" s="183" t="str" cm="1">
        <f t="array" ref="S82">IFERROR((_xlfn.IFS(B82="Landfill",(N82/'Carbon factors'!$DM$8),B82="Buried by staff",(N82/'Carbon factors'!$DM$8))),"")</f>
        <v/>
      </c>
      <c r="T82" s="1296" t="str">
        <f>IFERROR(((VLOOKUP(B82,'Carbon factors'!$FJ$8:$FN$15,5,0))*E82),"")</f>
        <v/>
      </c>
      <c r="U82"/>
    </row>
    <row r="83" spans="1:21" x14ac:dyDescent="0.35">
      <c r="A83" s="898"/>
      <c r="B83" s="579"/>
      <c r="C83" s="186"/>
      <c r="D83" s="179" t="s">
        <v>332</v>
      </c>
      <c r="E83" s="577"/>
      <c r="F83" s="186"/>
      <c r="G83" s="501" t="str" cm="1">
        <f t="array" ref="G83">IFERROR((_xlfn.IFS(F83=$Y$17,"3",F83=$Y$18,"2",F83=$Y$19,"1",F83=$Y$20,"1"))*E83,"")</f>
        <v/>
      </c>
      <c r="H83" s="168"/>
      <c r="I83" s="186"/>
      <c r="J83" s="183" t="str">
        <f>IFERROR(H83/VLOOKUP(I83,'$ Conversion'!$A$9:$B$40,2,0),"")</f>
        <v/>
      </c>
      <c r="K83" s="212"/>
      <c r="L83" s="1217">
        <f t="shared" si="9"/>
        <v>0</v>
      </c>
      <c r="M83" s="1407" t="str">
        <f>IFERROR(VLOOKUP($B83,'Carbon factors'!$FJ$8:$FL$15,3,0),"")</f>
        <v/>
      </c>
      <c r="N83" s="1295" t="str">
        <f t="shared" si="10"/>
        <v/>
      </c>
      <c r="O83" s="590" t="str">
        <f t="shared" si="11"/>
        <v>Scope 3</v>
      </c>
      <c r="P83" s="674" t="str">
        <f t="shared" si="12"/>
        <v/>
      </c>
      <c r="Q83"/>
      <c r="R83" s="1297" t="str">
        <f t="shared" si="13"/>
        <v/>
      </c>
      <c r="S83" s="183" t="str" cm="1">
        <f t="array" ref="S83">IFERROR((_xlfn.IFS(B83="Landfill",(N83/'Carbon factors'!$DM$8),B83="Buried by staff",(N83/'Carbon factors'!$DM$8))),"")</f>
        <v/>
      </c>
      <c r="T83" s="1296" t="str">
        <f>IFERROR(((VLOOKUP(B83,'Carbon factors'!$FJ$8:$FN$15,5,0))*E83),"")</f>
        <v/>
      </c>
      <c r="U83"/>
    </row>
    <row r="84" spans="1:21" x14ac:dyDescent="0.35">
      <c r="A84" s="898"/>
      <c r="B84" s="579"/>
      <c r="C84" s="186"/>
      <c r="D84" s="179" t="s">
        <v>332</v>
      </c>
      <c r="E84" s="577"/>
      <c r="F84" s="186"/>
      <c r="G84" s="501" t="str" cm="1">
        <f t="array" ref="G84">IFERROR((_xlfn.IFS(F84=$Y$17,"3",F84=$Y$18,"2",F84=$Y$19,"1",F84=$Y$20,"1"))*E84,"")</f>
        <v/>
      </c>
      <c r="H84" s="168"/>
      <c r="I84" s="186"/>
      <c r="J84" s="183" t="str">
        <f>IFERROR(H84/VLOOKUP(I84,'$ Conversion'!$A$9:$B$40,2,0),"")</f>
        <v/>
      </c>
      <c r="K84" s="212"/>
      <c r="L84" s="1217">
        <f t="shared" si="9"/>
        <v>0</v>
      </c>
      <c r="M84" s="1407" t="str">
        <f>IFERROR(VLOOKUP($B84,'Carbon factors'!$FJ$8:$FL$15,3,0),"")</f>
        <v/>
      </c>
      <c r="N84" s="1295" t="str">
        <f t="shared" si="10"/>
        <v/>
      </c>
      <c r="O84" s="590" t="str">
        <f t="shared" si="11"/>
        <v>Scope 3</v>
      </c>
      <c r="P84" s="674" t="str">
        <f t="shared" si="12"/>
        <v/>
      </c>
      <c r="Q84"/>
      <c r="R84" s="1297" t="str">
        <f t="shared" si="13"/>
        <v/>
      </c>
      <c r="S84" s="183" t="str" cm="1">
        <f t="array" ref="S84">IFERROR((_xlfn.IFS(B84="Landfill",(N84/'Carbon factors'!$DM$8),B84="Buried by staff",(N84/'Carbon factors'!$DM$8))),"")</f>
        <v/>
      </c>
      <c r="T84" s="1296" t="str">
        <f>IFERROR(((VLOOKUP(B84,'Carbon factors'!$FJ$8:$FN$15,5,0))*E84),"")</f>
        <v/>
      </c>
      <c r="U84"/>
    </row>
    <row r="85" spans="1:21" x14ac:dyDescent="0.35">
      <c r="A85" s="898"/>
      <c r="B85" s="579"/>
      <c r="C85" s="186"/>
      <c r="D85" s="179" t="s">
        <v>332</v>
      </c>
      <c r="E85" s="577"/>
      <c r="F85" s="186"/>
      <c r="G85" s="501" t="str" cm="1">
        <f t="array" ref="G85">IFERROR((_xlfn.IFS(F85=$Y$17,"3",F85=$Y$18,"2",F85=$Y$19,"1",F85=$Y$20,"1"))*E85,"")</f>
        <v/>
      </c>
      <c r="H85" s="168"/>
      <c r="I85" s="186"/>
      <c r="J85" s="183" t="str">
        <f>IFERROR(H85/VLOOKUP(I85,'$ Conversion'!$A$9:$B$40,2,0),"")</f>
        <v/>
      </c>
      <c r="K85" s="212"/>
      <c r="L85" s="1217">
        <f t="shared" si="9"/>
        <v>0</v>
      </c>
      <c r="M85" s="1407" t="str">
        <f>IFERROR(VLOOKUP($B85,'Carbon factors'!$FJ$8:$FL$15,3,0),"")</f>
        <v/>
      </c>
      <c r="N85" s="1295" t="str">
        <f t="shared" si="10"/>
        <v/>
      </c>
      <c r="O85" s="590" t="str">
        <f t="shared" si="11"/>
        <v>Scope 3</v>
      </c>
      <c r="P85" s="674" t="str">
        <f t="shared" si="12"/>
        <v/>
      </c>
      <c r="Q85"/>
      <c r="R85" s="1297" t="str">
        <f t="shared" si="13"/>
        <v/>
      </c>
      <c r="S85" s="183" t="str" cm="1">
        <f t="array" ref="S85">IFERROR((_xlfn.IFS(B85="Landfill",(N85/'Carbon factors'!$DM$8),B85="Buried by staff",(N85/'Carbon factors'!$DM$8))),"")</f>
        <v/>
      </c>
      <c r="T85" s="1296" t="str">
        <f>IFERROR(((VLOOKUP(B85,'Carbon factors'!$FJ$8:$FN$15,5,0))*E85),"")</f>
        <v/>
      </c>
      <c r="U85"/>
    </row>
    <row r="86" spans="1:21" x14ac:dyDescent="0.35">
      <c r="A86" s="898"/>
      <c r="B86" s="579"/>
      <c r="C86" s="186"/>
      <c r="D86" s="179" t="s">
        <v>332</v>
      </c>
      <c r="E86" s="577"/>
      <c r="F86" s="186"/>
      <c r="G86" s="501" t="str" cm="1">
        <f t="array" ref="G86">IFERROR((_xlfn.IFS(F86=$Y$17,"3",F86=$Y$18,"2",F86=$Y$19,"1",F86=$Y$20,"1"))*E86,"")</f>
        <v/>
      </c>
      <c r="H86" s="168"/>
      <c r="I86" s="186"/>
      <c r="J86" s="183" t="str">
        <f>IFERROR(H86/VLOOKUP(I86,'$ Conversion'!$A$9:$B$40,2,0),"")</f>
        <v/>
      </c>
      <c r="K86" s="212"/>
      <c r="L86" s="1217">
        <f t="shared" si="9"/>
        <v>0</v>
      </c>
      <c r="M86" s="1407" t="str">
        <f>IFERROR(VLOOKUP($B86,'Carbon factors'!$FJ$8:$FL$15,3,0),"")</f>
        <v/>
      </c>
      <c r="N86" s="1295" t="str">
        <f t="shared" si="10"/>
        <v/>
      </c>
      <c r="O86" s="590" t="str">
        <f t="shared" si="11"/>
        <v>Scope 3</v>
      </c>
      <c r="P86" s="674" t="str">
        <f t="shared" si="12"/>
        <v/>
      </c>
      <c r="Q86"/>
      <c r="R86" s="1297" t="str">
        <f t="shared" si="13"/>
        <v/>
      </c>
      <c r="S86" s="183" t="str" cm="1">
        <f t="array" ref="S86">IFERROR((_xlfn.IFS(B86="Landfill",(N86/'Carbon factors'!$DM$8),B86="Buried by staff",(N86/'Carbon factors'!$DM$8))),"")</f>
        <v/>
      </c>
      <c r="T86" s="1296" t="str">
        <f>IFERROR(((VLOOKUP(B86,'Carbon factors'!$FJ$8:$FN$15,5,0))*E86),"")</f>
        <v/>
      </c>
      <c r="U86"/>
    </row>
    <row r="87" spans="1:21" x14ac:dyDescent="0.35">
      <c r="A87" s="898"/>
      <c r="B87" s="579"/>
      <c r="C87" s="186"/>
      <c r="D87" s="179" t="s">
        <v>332</v>
      </c>
      <c r="E87" s="577"/>
      <c r="F87" s="186"/>
      <c r="G87" s="501" t="str" cm="1">
        <f t="array" ref="G87">IFERROR((_xlfn.IFS(F87=$Y$17,"3",F87=$Y$18,"2",F87=$Y$19,"1",F87=$Y$20,"1"))*E87,"")</f>
        <v/>
      </c>
      <c r="H87" s="168"/>
      <c r="I87" s="186"/>
      <c r="J87" s="183" t="str">
        <f>IFERROR(H87/VLOOKUP(I87,'$ Conversion'!$A$9:$B$40,2,0),"")</f>
        <v/>
      </c>
      <c r="K87" s="212"/>
      <c r="L87" s="1217">
        <f t="shared" si="9"/>
        <v>0</v>
      </c>
      <c r="M87" s="1407" t="str">
        <f>IFERROR(VLOOKUP($B87,'Carbon factors'!$FJ$8:$FL$15,3,0),"")</f>
        <v/>
      </c>
      <c r="N87" s="1295" t="str">
        <f t="shared" si="10"/>
        <v/>
      </c>
      <c r="O87" s="590" t="str">
        <f t="shared" si="11"/>
        <v>Scope 3</v>
      </c>
      <c r="P87" s="674" t="str">
        <f t="shared" si="12"/>
        <v/>
      </c>
      <c r="Q87"/>
      <c r="R87" s="1297" t="str">
        <f t="shared" si="13"/>
        <v/>
      </c>
      <c r="S87" s="183" t="str" cm="1">
        <f t="array" ref="S87">IFERROR((_xlfn.IFS(B87="Landfill",(N87/'Carbon factors'!$DM$8),B87="Buried by staff",(N87/'Carbon factors'!$DM$8))),"")</f>
        <v/>
      </c>
      <c r="T87" s="1296" t="str">
        <f>IFERROR(((VLOOKUP(B87,'Carbon factors'!$FJ$8:$FN$15,5,0))*E87),"")</f>
        <v/>
      </c>
      <c r="U87"/>
    </row>
    <row r="88" spans="1:21" x14ac:dyDescent="0.35">
      <c r="A88" s="898"/>
      <c r="B88" s="579"/>
      <c r="C88" s="186"/>
      <c r="D88" s="179" t="s">
        <v>332</v>
      </c>
      <c r="E88" s="577"/>
      <c r="F88" s="186"/>
      <c r="G88" s="501" t="str" cm="1">
        <f t="array" ref="G88">IFERROR((_xlfn.IFS(F88=$Y$17,"3",F88=$Y$18,"2",F88=$Y$19,"1",F88=$Y$20,"1"))*E88,"")</f>
        <v/>
      </c>
      <c r="H88" s="168"/>
      <c r="I88" s="186"/>
      <c r="J88" s="183" t="str">
        <f>IFERROR(H88/VLOOKUP(I88,'$ Conversion'!$A$9:$B$40,2,0),"")</f>
        <v/>
      </c>
      <c r="K88" s="212"/>
      <c r="L88" s="1217">
        <f t="shared" si="9"/>
        <v>0</v>
      </c>
      <c r="M88" s="1407" t="str">
        <f>IFERROR(VLOOKUP($B88,'Carbon factors'!$FJ$8:$FL$15,3,0),"")</f>
        <v/>
      </c>
      <c r="N88" s="1295" t="str">
        <f t="shared" si="10"/>
        <v/>
      </c>
      <c r="O88" s="590" t="str">
        <f t="shared" si="11"/>
        <v>Scope 3</v>
      </c>
      <c r="P88" s="674" t="str">
        <f t="shared" si="12"/>
        <v/>
      </c>
      <c r="Q88"/>
      <c r="R88" s="1297" t="str">
        <f t="shared" si="13"/>
        <v/>
      </c>
      <c r="S88" s="183" t="str" cm="1">
        <f t="array" ref="S88">IFERROR((_xlfn.IFS(B88="Landfill",(N88/'Carbon factors'!$DM$8),B88="Buried by staff",(N88/'Carbon factors'!$DM$8))),"")</f>
        <v/>
      </c>
      <c r="T88" s="1296" t="str">
        <f>IFERROR(((VLOOKUP(B88,'Carbon factors'!$FJ$8:$FN$15,5,0))*E88),"")</f>
        <v/>
      </c>
      <c r="U88"/>
    </row>
    <row r="89" spans="1:21" x14ac:dyDescent="0.35">
      <c r="A89" s="898"/>
      <c r="B89" s="579"/>
      <c r="C89" s="186"/>
      <c r="D89" s="179" t="s">
        <v>332</v>
      </c>
      <c r="E89" s="577"/>
      <c r="F89" s="186"/>
      <c r="G89" s="501" t="str" cm="1">
        <f t="array" ref="G89">IFERROR((_xlfn.IFS(F89=$Y$17,"3",F89=$Y$18,"2",F89=$Y$19,"1",F89=$Y$20,"1"))*E89,"")</f>
        <v/>
      </c>
      <c r="H89" s="168"/>
      <c r="I89" s="186"/>
      <c r="J89" s="183" t="str">
        <f>IFERROR(H89/VLOOKUP(I89,'$ Conversion'!$A$9:$B$40,2,0),"")</f>
        <v/>
      </c>
      <c r="K89" s="212"/>
      <c r="L89" s="1217">
        <f t="shared" si="9"/>
        <v>0</v>
      </c>
      <c r="M89" s="1407" t="str">
        <f>IFERROR(VLOOKUP($B89,'Carbon factors'!$FJ$8:$FL$15,3,0),"")</f>
        <v/>
      </c>
      <c r="N89" s="1295" t="str">
        <f t="shared" si="10"/>
        <v/>
      </c>
      <c r="O89" s="590" t="str">
        <f t="shared" si="11"/>
        <v>Scope 3</v>
      </c>
      <c r="P89" s="674" t="str">
        <f t="shared" si="12"/>
        <v/>
      </c>
      <c r="Q89"/>
      <c r="R89" s="1297" t="str">
        <f t="shared" si="13"/>
        <v/>
      </c>
      <c r="S89" s="183" t="str" cm="1">
        <f t="array" ref="S89">IFERROR((_xlfn.IFS(B89="Landfill",(N89/'Carbon factors'!$DM$8),B89="Buried by staff",(N89/'Carbon factors'!$DM$8))),"")</f>
        <v/>
      </c>
      <c r="T89" s="1296" t="str">
        <f>IFERROR(((VLOOKUP(B89,'Carbon factors'!$FJ$8:$FN$15,5,0))*E89),"")</f>
        <v/>
      </c>
      <c r="U89"/>
    </row>
    <row r="90" spans="1:21" x14ac:dyDescent="0.35">
      <c r="A90" s="898"/>
      <c r="B90" s="579"/>
      <c r="C90" s="186"/>
      <c r="D90" s="179" t="s">
        <v>332</v>
      </c>
      <c r="E90" s="577"/>
      <c r="F90" s="186"/>
      <c r="G90" s="501" t="str" cm="1">
        <f t="array" ref="G90">IFERROR((_xlfn.IFS(F90=$Y$17,"3",F90=$Y$18,"2",F90=$Y$19,"1",F90=$Y$20,"1"))*E90,"")</f>
        <v/>
      </c>
      <c r="H90" s="168"/>
      <c r="I90" s="186"/>
      <c r="J90" s="183" t="str">
        <f>IFERROR(H90/VLOOKUP(I90,'$ Conversion'!$A$9:$B$40,2,0),"")</f>
        <v/>
      </c>
      <c r="K90" s="212"/>
      <c r="L90" s="1217">
        <f t="shared" si="9"/>
        <v>0</v>
      </c>
      <c r="M90" s="1407" t="str">
        <f>IFERROR(VLOOKUP($B90,'Carbon factors'!$FJ$8:$FL$15,3,0),"")</f>
        <v/>
      </c>
      <c r="N90" s="1295" t="str">
        <f t="shared" si="10"/>
        <v/>
      </c>
      <c r="O90" s="590" t="str">
        <f t="shared" si="11"/>
        <v>Scope 3</v>
      </c>
      <c r="P90" s="674" t="str">
        <f t="shared" si="12"/>
        <v/>
      </c>
      <c r="Q90"/>
      <c r="R90" s="1297" t="str">
        <f t="shared" si="13"/>
        <v/>
      </c>
      <c r="S90" s="183" t="str" cm="1">
        <f t="array" ref="S90">IFERROR((_xlfn.IFS(B90="Landfill",(N90/'Carbon factors'!$DM$8),B90="Buried by staff",(N90/'Carbon factors'!$DM$8))),"")</f>
        <v/>
      </c>
      <c r="T90" s="1296" t="str">
        <f>IFERROR(((VLOOKUP(B90,'Carbon factors'!$FJ$8:$FN$15,5,0))*E90),"")</f>
        <v/>
      </c>
      <c r="U90"/>
    </row>
    <row r="91" spans="1:21" x14ac:dyDescent="0.35">
      <c r="A91" s="898"/>
      <c r="B91" s="579"/>
      <c r="C91" s="186"/>
      <c r="D91" s="179" t="s">
        <v>332</v>
      </c>
      <c r="E91" s="577"/>
      <c r="F91" s="186"/>
      <c r="G91" s="501" t="str" cm="1">
        <f t="array" ref="G91">IFERROR((_xlfn.IFS(F91=$Y$17,"3",F91=$Y$18,"2",F91=$Y$19,"1",F91=$Y$20,"1"))*E91,"")</f>
        <v/>
      </c>
      <c r="H91" s="168"/>
      <c r="I91" s="186"/>
      <c r="J91" s="183" t="str">
        <f>IFERROR(H91/VLOOKUP(I91,'$ Conversion'!$A$9:$B$40,2,0),"")</f>
        <v/>
      </c>
      <c r="K91" s="212"/>
      <c r="L91" s="1217">
        <f t="shared" si="9"/>
        <v>0</v>
      </c>
      <c r="M91" s="1407" t="str">
        <f>IFERROR(VLOOKUP($B91,'Carbon factors'!$FJ$8:$FL$15,3,0),"")</f>
        <v/>
      </c>
      <c r="N91" s="1295" t="str">
        <f t="shared" si="10"/>
        <v/>
      </c>
      <c r="O91" s="590" t="str">
        <f t="shared" si="11"/>
        <v>Scope 3</v>
      </c>
      <c r="P91" s="674" t="str">
        <f t="shared" si="12"/>
        <v/>
      </c>
      <c r="Q91"/>
      <c r="R91" s="1297" t="str">
        <f t="shared" si="13"/>
        <v/>
      </c>
      <c r="S91" s="183" t="str" cm="1">
        <f t="array" ref="S91">IFERROR((_xlfn.IFS(B91="Landfill",(N91/'Carbon factors'!$DM$8),B91="Buried by staff",(N91/'Carbon factors'!$DM$8))),"")</f>
        <v/>
      </c>
      <c r="T91" s="1296" t="str">
        <f>IFERROR(((VLOOKUP(B91,'Carbon factors'!$FJ$8:$FN$15,5,0))*E91),"")</f>
        <v/>
      </c>
      <c r="U91"/>
    </row>
    <row r="92" spans="1:21" x14ac:dyDescent="0.35">
      <c r="A92" s="898"/>
      <c r="B92" s="579"/>
      <c r="C92" s="186"/>
      <c r="D92" s="179" t="s">
        <v>332</v>
      </c>
      <c r="E92" s="577"/>
      <c r="F92" s="186"/>
      <c r="G92" s="501" t="str" cm="1">
        <f t="array" ref="G92">IFERROR((_xlfn.IFS(F92=$Y$17,"3",F92=$Y$18,"2",F92=$Y$19,"1",F92=$Y$20,"1"))*E92,"")</f>
        <v/>
      </c>
      <c r="H92" s="168"/>
      <c r="I92" s="186"/>
      <c r="J92" s="183" t="str">
        <f>IFERROR(H92/VLOOKUP(I92,'$ Conversion'!$A$9:$B$40,2,0),"")</f>
        <v/>
      </c>
      <c r="K92" s="212"/>
      <c r="L92" s="1217">
        <f t="shared" si="9"/>
        <v>0</v>
      </c>
      <c r="M92" s="1407" t="str">
        <f>IFERROR(VLOOKUP($B92,'Carbon factors'!$FJ$8:$FL$15,3,0),"")</f>
        <v/>
      </c>
      <c r="N92" s="1295" t="str">
        <f t="shared" si="10"/>
        <v/>
      </c>
      <c r="O92" s="590" t="str">
        <f t="shared" si="11"/>
        <v>Scope 3</v>
      </c>
      <c r="P92" s="674" t="str">
        <f t="shared" si="12"/>
        <v/>
      </c>
      <c r="Q92"/>
      <c r="R92" s="1297" t="str">
        <f t="shared" si="13"/>
        <v/>
      </c>
      <c r="S92" s="183" t="str" cm="1">
        <f t="array" ref="S92">IFERROR((_xlfn.IFS(B92="Landfill",(N92/'Carbon factors'!$DM$8),B92="Buried by staff",(N92/'Carbon factors'!$DM$8))),"")</f>
        <v/>
      </c>
      <c r="T92" s="1296" t="str">
        <f>IFERROR(((VLOOKUP(B92,'Carbon factors'!$FJ$8:$FN$15,5,0))*E92),"")</f>
        <v/>
      </c>
      <c r="U92"/>
    </row>
    <row r="93" spans="1:21" x14ac:dyDescent="0.35">
      <c r="A93" s="898"/>
      <c r="B93" s="579"/>
      <c r="C93" s="186"/>
      <c r="D93" s="179" t="s">
        <v>332</v>
      </c>
      <c r="E93" s="577"/>
      <c r="F93" s="186"/>
      <c r="G93" s="501" t="str" cm="1">
        <f t="array" ref="G93">IFERROR((_xlfn.IFS(F93=$Y$17,"3",F93=$Y$18,"2",F93=$Y$19,"1",F93=$Y$20,"1"))*E93,"")</f>
        <v/>
      </c>
      <c r="H93" s="168"/>
      <c r="I93" s="186"/>
      <c r="J93" s="183" t="str">
        <f>IFERROR(H93/VLOOKUP(I93,'$ Conversion'!$A$9:$B$40,2,0),"")</f>
        <v/>
      </c>
      <c r="K93" s="212"/>
      <c r="L93" s="1217">
        <f t="shared" si="2"/>
        <v>0</v>
      </c>
      <c r="M93" s="1407" t="str">
        <f>IFERROR(VLOOKUP($B93,'Carbon factors'!$FJ$8:$FL$15,3,0),"")</f>
        <v/>
      </c>
      <c r="N93" s="1295" t="str">
        <f t="shared" si="3"/>
        <v/>
      </c>
      <c r="O93" s="590" t="str">
        <f t="shared" si="0"/>
        <v>Scope 3</v>
      </c>
      <c r="P93" s="674" t="str">
        <f t="shared" si="4"/>
        <v/>
      </c>
      <c r="Q93"/>
      <c r="R93" s="1297" t="str">
        <f t="shared" si="13"/>
        <v/>
      </c>
      <c r="S93" s="183" t="str" cm="1">
        <f t="array" ref="S93">IFERROR((_xlfn.IFS(B93="Landfill",(N93/'Carbon factors'!$DM$8),B93="Buried by staff",(N93/'Carbon factors'!$DM$8))),"")</f>
        <v/>
      </c>
      <c r="T93" s="1296" t="str">
        <f>IFERROR(((VLOOKUP(B93,'Carbon factors'!$FJ$8:$FN$15,5,0))*E93),"")</f>
        <v/>
      </c>
      <c r="U93"/>
    </row>
    <row r="94" spans="1:21" x14ac:dyDescent="0.35">
      <c r="A94" s="898"/>
      <c r="B94" s="579"/>
      <c r="C94" s="186"/>
      <c r="D94" s="179" t="s">
        <v>332</v>
      </c>
      <c r="E94" s="577"/>
      <c r="F94" s="186"/>
      <c r="G94" s="501" t="str" cm="1">
        <f t="array" ref="G94">IFERROR((_xlfn.IFS(F94=$Y$17,"3",F94=$Y$18,"2",F94=$Y$19,"1",F94=$Y$20,"1"))*E94,"")</f>
        <v/>
      </c>
      <c r="H94" s="168"/>
      <c r="I94" s="186"/>
      <c r="J94" s="183" t="str">
        <f>IFERROR(H94/VLOOKUP(I94,'$ Conversion'!$A$9:$B$40,2,0),"")</f>
        <v/>
      </c>
      <c r="K94" s="212"/>
      <c r="L94" s="1217">
        <f t="shared" si="2"/>
        <v>0</v>
      </c>
      <c r="M94" s="1407" t="str">
        <f>IFERROR(VLOOKUP($B94,'Carbon factors'!$FJ$8:$FL$15,3,0),"")</f>
        <v/>
      </c>
      <c r="N94" s="1295" t="str">
        <f t="shared" si="3"/>
        <v/>
      </c>
      <c r="O94" s="590" t="str">
        <f t="shared" si="0"/>
        <v>Scope 3</v>
      </c>
      <c r="P94" s="674" t="str">
        <f t="shared" si="4"/>
        <v/>
      </c>
      <c r="Q94"/>
      <c r="R94" s="1297" t="str">
        <f t="shared" si="13"/>
        <v/>
      </c>
      <c r="S94" s="183" t="str" cm="1">
        <f t="array" ref="S94">IFERROR((_xlfn.IFS(B94="Landfill",(N94/'Carbon factors'!$DM$8),B94="Buried by staff",(N94/'Carbon factors'!$DM$8))),"")</f>
        <v/>
      </c>
      <c r="T94" s="1296" t="str">
        <f>IFERROR(((VLOOKUP(B94,'Carbon factors'!$FJ$8:$FN$15,5,0))*E94),"")</f>
        <v/>
      </c>
      <c r="U94"/>
    </row>
    <row r="95" spans="1:21" x14ac:dyDescent="0.35">
      <c r="A95" s="898"/>
      <c r="B95" s="579"/>
      <c r="C95" s="186"/>
      <c r="D95" s="179" t="s">
        <v>332</v>
      </c>
      <c r="E95" s="577"/>
      <c r="F95" s="186"/>
      <c r="G95" s="501" t="str" cm="1">
        <f t="array" ref="G95">IFERROR((_xlfn.IFS(F95=$Y$17,"3",F95=$Y$18,"2",F95=$Y$19,"1",F95=$Y$20,"1"))*E95,"")</f>
        <v/>
      </c>
      <c r="H95" s="168"/>
      <c r="I95" s="186"/>
      <c r="J95" s="183" t="str">
        <f>IFERROR(H95/VLOOKUP(I95,'$ Conversion'!$A$9:$B$40,2,0),"")</f>
        <v/>
      </c>
      <c r="K95" s="212"/>
      <c r="L95" s="1217">
        <f t="shared" si="2"/>
        <v>0</v>
      </c>
      <c r="M95" s="1407" t="str">
        <f>IFERROR(VLOOKUP($B95,'Carbon factors'!$FJ$8:$FL$15,3,0),"")</f>
        <v/>
      </c>
      <c r="N95" s="1295" t="str">
        <f t="shared" si="3"/>
        <v/>
      </c>
      <c r="O95" s="590" t="str">
        <f t="shared" si="0"/>
        <v>Scope 3</v>
      </c>
      <c r="P95" s="674" t="str">
        <f t="shared" si="4"/>
        <v/>
      </c>
      <c r="Q95"/>
      <c r="R95" s="1297" t="str">
        <f t="shared" si="13"/>
        <v/>
      </c>
      <c r="S95" s="183" t="str" cm="1">
        <f t="array" ref="S95">IFERROR((_xlfn.IFS(B95="Landfill",(N95/'Carbon factors'!$DM$8),B95="Buried by staff",(N95/'Carbon factors'!$DM$8))),"")</f>
        <v/>
      </c>
      <c r="T95" s="1296" t="str">
        <f>IFERROR(((VLOOKUP(B95,'Carbon factors'!$FJ$8:$FN$15,5,0))*E95),"")</f>
        <v/>
      </c>
      <c r="U95"/>
    </row>
    <row r="96" spans="1:21" x14ac:dyDescent="0.35">
      <c r="A96" s="898"/>
      <c r="B96" s="579"/>
      <c r="C96" s="186"/>
      <c r="D96" s="179" t="s">
        <v>332</v>
      </c>
      <c r="E96" s="577"/>
      <c r="F96" s="186"/>
      <c r="G96" s="501" t="str" cm="1">
        <f t="array" ref="G96">IFERROR((_xlfn.IFS(F96=$Y$17,"3",F96=$Y$18,"2",F96=$Y$19,"1",F96=$Y$20,"1"))*E96,"")</f>
        <v/>
      </c>
      <c r="H96" s="168"/>
      <c r="I96" s="186"/>
      <c r="J96" s="183" t="str">
        <f>IFERROR(H96/VLOOKUP(I96,'$ Conversion'!$A$9:$B$40,2,0),"")</f>
        <v/>
      </c>
      <c r="K96" s="212"/>
      <c r="L96" s="1217">
        <f t="shared" si="2"/>
        <v>0</v>
      </c>
      <c r="M96" s="1407" t="str">
        <f>IFERROR(VLOOKUP($B96,'Carbon factors'!$FJ$8:$FL$15,3,0),"")</f>
        <v/>
      </c>
      <c r="N96" s="1295" t="str">
        <f t="shared" si="3"/>
        <v/>
      </c>
      <c r="O96" s="590" t="str">
        <f t="shared" si="0"/>
        <v>Scope 3</v>
      </c>
      <c r="P96" s="674" t="str">
        <f t="shared" si="4"/>
        <v/>
      </c>
      <c r="Q96"/>
      <c r="R96" s="1297" t="str">
        <f t="shared" si="13"/>
        <v/>
      </c>
      <c r="S96" s="183" t="str" cm="1">
        <f t="array" ref="S96">IFERROR((_xlfn.IFS(B96="Landfill",(N96/'Carbon factors'!$DM$8),B96="Buried by staff",(N96/'Carbon factors'!$DM$8))),"")</f>
        <v/>
      </c>
      <c r="T96" s="1296" t="str">
        <f>IFERROR(((VLOOKUP(B96,'Carbon factors'!$FJ$8:$FN$15,5,0))*E96),"")</f>
        <v/>
      </c>
      <c r="U96"/>
    </row>
    <row r="97" spans="1:21" x14ac:dyDescent="0.35">
      <c r="A97" s="898"/>
      <c r="B97" s="579"/>
      <c r="C97" s="186"/>
      <c r="D97" s="179" t="s">
        <v>332</v>
      </c>
      <c r="E97" s="577"/>
      <c r="F97" s="186"/>
      <c r="G97" s="501" t="str" cm="1">
        <f t="array" ref="G97">IFERROR((_xlfn.IFS(F97=$Y$17,"3",F97=$Y$18,"2",F97=$Y$19,"1",F97=$Y$20,"1"))*E97,"")</f>
        <v/>
      </c>
      <c r="H97" s="168"/>
      <c r="I97" s="186"/>
      <c r="J97" s="183" t="str">
        <f>IFERROR(H97/VLOOKUP(I97,'$ Conversion'!$A$9:$B$40,2,0),"")</f>
        <v/>
      </c>
      <c r="K97" s="212"/>
      <c r="L97" s="1217">
        <f t="shared" si="2"/>
        <v>0</v>
      </c>
      <c r="M97" s="1407" t="str">
        <f>IFERROR(VLOOKUP($B97,'Carbon factors'!$FJ$8:$FL$15,3,0),"")</f>
        <v/>
      </c>
      <c r="N97" s="1295" t="str">
        <f t="shared" si="3"/>
        <v/>
      </c>
      <c r="O97" s="590" t="str">
        <f t="shared" si="0"/>
        <v>Scope 3</v>
      </c>
      <c r="P97" s="674" t="str">
        <f t="shared" si="4"/>
        <v/>
      </c>
      <c r="Q97"/>
      <c r="R97" s="1297" t="str">
        <f t="shared" si="13"/>
        <v/>
      </c>
      <c r="S97" s="183" t="str" cm="1">
        <f t="array" ref="S97">IFERROR((_xlfn.IFS(B97="Landfill",(N97/'Carbon factors'!$DM$8),B97="Buried by staff",(N97/'Carbon factors'!$DM$8))),"")</f>
        <v/>
      </c>
      <c r="T97" s="1296" t="str">
        <f>IFERROR(((VLOOKUP(B97,'Carbon factors'!$FJ$8:$FN$15,5,0))*E97),"")</f>
        <v/>
      </c>
      <c r="U97"/>
    </row>
    <row r="98" spans="1:21" x14ac:dyDescent="0.35">
      <c r="A98" s="898"/>
      <c r="B98" s="579"/>
      <c r="C98" s="186"/>
      <c r="D98" s="179" t="s">
        <v>332</v>
      </c>
      <c r="E98" s="577"/>
      <c r="F98" s="186"/>
      <c r="G98" s="501" t="str" cm="1">
        <f t="array" ref="G98">IFERROR((_xlfn.IFS(F98=$Y$17,"3",F98=$Y$18,"2",F98=$Y$19,"1",F98=$Y$20,"1"))*E98,"")</f>
        <v/>
      </c>
      <c r="H98" s="168"/>
      <c r="I98" s="186"/>
      <c r="J98" s="183" t="str">
        <f>IFERROR(H98/VLOOKUP(I98,'$ Conversion'!$A$9:$B$40,2,0),"")</f>
        <v/>
      </c>
      <c r="K98" s="212"/>
      <c r="L98" s="1217">
        <f t="shared" si="2"/>
        <v>0</v>
      </c>
      <c r="M98" s="1407" t="str">
        <f>IFERROR(VLOOKUP($B98,'Carbon factors'!$FJ$8:$FL$15,3,0),"")</f>
        <v/>
      </c>
      <c r="N98" s="1295" t="str">
        <f t="shared" si="3"/>
        <v/>
      </c>
      <c r="O98" s="590" t="str">
        <f t="shared" si="0"/>
        <v>Scope 3</v>
      </c>
      <c r="P98" s="674" t="str">
        <f t="shared" si="4"/>
        <v/>
      </c>
      <c r="Q98"/>
      <c r="R98" s="1297" t="str">
        <f t="shared" si="13"/>
        <v/>
      </c>
      <c r="S98" s="183" t="str" cm="1">
        <f t="array" ref="S98">IFERROR((_xlfn.IFS(B98="Landfill",(N98/'Carbon factors'!$DM$8),B98="Buried by staff",(N98/'Carbon factors'!$DM$8))),"")</f>
        <v/>
      </c>
      <c r="T98" s="1296" t="str">
        <f>IFERROR(((VLOOKUP(B98,'Carbon factors'!$FJ$8:$FN$15,5,0))*E98),"")</f>
        <v/>
      </c>
      <c r="U98"/>
    </row>
    <row r="99" spans="1:21" x14ac:dyDescent="0.35">
      <c r="A99" s="898"/>
      <c r="B99" s="579"/>
      <c r="C99" s="186"/>
      <c r="D99" s="179" t="s">
        <v>332</v>
      </c>
      <c r="E99" s="577"/>
      <c r="F99" s="186"/>
      <c r="G99" s="501" t="str" cm="1">
        <f t="array" ref="G99">IFERROR((_xlfn.IFS(F99=$Y$17,"3",F99=$Y$18,"2",F99=$Y$19,"1",F99=$Y$20,"1"))*E99,"")</f>
        <v/>
      </c>
      <c r="H99" s="168"/>
      <c r="I99" s="186"/>
      <c r="J99" s="183" t="str">
        <f>IFERROR(H99/VLOOKUP(I99,'$ Conversion'!$A$9:$B$40,2,0),"")</f>
        <v/>
      </c>
      <c r="K99" s="212"/>
      <c r="L99" s="1217">
        <f t="shared" si="2"/>
        <v>0</v>
      </c>
      <c r="M99" s="1407" t="str">
        <f>IFERROR(VLOOKUP($B99,'Carbon factors'!$FJ$8:$FL$15,3,0),"")</f>
        <v/>
      </c>
      <c r="N99" s="1295" t="str">
        <f t="shared" si="3"/>
        <v/>
      </c>
      <c r="O99" s="590" t="str">
        <f t="shared" si="0"/>
        <v>Scope 3</v>
      </c>
      <c r="P99" s="674" t="str">
        <f t="shared" si="4"/>
        <v/>
      </c>
      <c r="Q99"/>
      <c r="R99" s="1297" t="str">
        <f t="shared" si="13"/>
        <v/>
      </c>
      <c r="S99" s="183" t="str" cm="1">
        <f t="array" ref="S99">IFERROR((_xlfn.IFS(B99="Landfill",(N99/'Carbon factors'!$DM$8),B99="Buried by staff",(N99/'Carbon factors'!$DM$8))),"")</f>
        <v/>
      </c>
      <c r="T99" s="1296" t="str">
        <f>IFERROR(((VLOOKUP(B99,'Carbon factors'!$FJ$8:$FN$15,5,0))*E99),"")</f>
        <v/>
      </c>
      <c r="U99"/>
    </row>
    <row r="100" spans="1:21" x14ac:dyDescent="0.35">
      <c r="A100" s="898"/>
      <c r="B100" s="579"/>
      <c r="C100" s="186"/>
      <c r="D100" s="179" t="s">
        <v>332</v>
      </c>
      <c r="E100" s="577"/>
      <c r="F100" s="186"/>
      <c r="G100" s="501" t="str" cm="1">
        <f t="array" ref="G100">IFERROR((_xlfn.IFS(F100=$Y$17,"3",F100=$Y$18,"2",F100=$Y$19,"1",F100=$Y$20,"1"))*E100,"")</f>
        <v/>
      </c>
      <c r="H100" s="168"/>
      <c r="I100" s="186"/>
      <c r="J100" s="183" t="str">
        <f>IFERROR(H100/VLOOKUP(I100,'$ Conversion'!$A$9:$B$40,2,0),"")</f>
        <v/>
      </c>
      <c r="K100" s="212"/>
      <c r="L100" s="1217">
        <f t="shared" si="2"/>
        <v>0</v>
      </c>
      <c r="M100" s="1407" t="str">
        <f>IFERROR(VLOOKUP($B100,'Carbon factors'!$FJ$8:$FL$15,3,0),"")</f>
        <v/>
      </c>
      <c r="N100" s="1295" t="str">
        <f t="shared" si="3"/>
        <v/>
      </c>
      <c r="O100" s="590" t="str">
        <f t="shared" si="0"/>
        <v>Scope 3</v>
      </c>
      <c r="P100" s="674" t="str">
        <f t="shared" si="4"/>
        <v/>
      </c>
      <c r="Q100"/>
      <c r="R100" s="1297" t="str">
        <f t="shared" si="13"/>
        <v/>
      </c>
      <c r="S100" s="183" t="str" cm="1">
        <f t="array" ref="S100">IFERROR((_xlfn.IFS(B100="Landfill",(N100/'Carbon factors'!$DM$8),B100="Buried by staff",(N100/'Carbon factors'!$DM$8))),"")</f>
        <v/>
      </c>
      <c r="T100" s="1296" t="str">
        <f>IFERROR(((VLOOKUP(B100,'Carbon factors'!$FJ$8:$FN$15,5,0))*E100),"")</f>
        <v/>
      </c>
      <c r="U100"/>
    </row>
    <row r="101" spans="1:21" x14ac:dyDescent="0.35">
      <c r="A101" s="898"/>
      <c r="B101" s="579"/>
      <c r="C101" s="186"/>
      <c r="D101" s="179" t="s">
        <v>332</v>
      </c>
      <c r="E101" s="577"/>
      <c r="F101" s="186"/>
      <c r="G101" s="501" t="str" cm="1">
        <f t="array" ref="G101">IFERROR((_xlfn.IFS(F101=$Y$17,"3",F101=$Y$18,"2",F101=$Y$19,"1",F101=$Y$20,"1"))*E101,"")</f>
        <v/>
      </c>
      <c r="H101" s="168"/>
      <c r="I101" s="186"/>
      <c r="J101" s="183" t="str">
        <f>IFERROR(H101/VLOOKUP(I101,'$ Conversion'!$A$9:$B$40,2,0),"")</f>
        <v/>
      </c>
      <c r="K101" s="212"/>
      <c r="L101" s="1217">
        <f t="shared" si="2"/>
        <v>0</v>
      </c>
      <c r="M101" s="1407" t="str">
        <f>IFERROR(VLOOKUP($B101,'Carbon factors'!$FJ$8:$FL$15,3,0),"")</f>
        <v/>
      </c>
      <c r="N101" s="1295" t="str">
        <f t="shared" si="3"/>
        <v/>
      </c>
      <c r="O101" s="590" t="str">
        <f t="shared" si="0"/>
        <v>Scope 3</v>
      </c>
      <c r="P101" s="674" t="str">
        <f t="shared" si="4"/>
        <v/>
      </c>
      <c r="Q101"/>
      <c r="R101" s="1297" t="str">
        <f t="shared" si="13"/>
        <v/>
      </c>
      <c r="S101" s="183" t="str" cm="1">
        <f t="array" ref="S101">IFERROR((_xlfn.IFS(B101="Landfill",(N101/'Carbon factors'!$DM$8),B101="Buried by staff",(N101/'Carbon factors'!$DM$8))),"")</f>
        <v/>
      </c>
      <c r="T101" s="1296" t="str">
        <f>IFERROR(((VLOOKUP(B101,'Carbon factors'!$FJ$8:$FN$15,5,0))*E101),"")</f>
        <v/>
      </c>
      <c r="U101"/>
    </row>
    <row r="102" spans="1:21" x14ac:dyDescent="0.35">
      <c r="A102" s="898"/>
      <c r="B102" s="579"/>
      <c r="C102" s="186"/>
      <c r="D102" s="179" t="s">
        <v>332</v>
      </c>
      <c r="E102" s="577"/>
      <c r="F102" s="186"/>
      <c r="G102" s="501" t="str" cm="1">
        <f t="array" ref="G102">IFERROR((_xlfn.IFS(F102=$Y$17,"3",F102=$Y$18,"2",F102=$Y$19,"1",F102=$Y$20,"1"))*E102,"")</f>
        <v/>
      </c>
      <c r="H102" s="168"/>
      <c r="I102" s="186"/>
      <c r="J102" s="183" t="str">
        <f>IFERROR(H102/VLOOKUP(I102,'$ Conversion'!$A$9:$B$40,2,0),"")</f>
        <v/>
      </c>
      <c r="K102" s="212"/>
      <c r="L102" s="1217">
        <f t="shared" si="2"/>
        <v>0</v>
      </c>
      <c r="M102" s="1407" t="str">
        <f>IFERROR(VLOOKUP($B102,'Carbon factors'!$FJ$8:$FL$15,3,0),"")</f>
        <v/>
      </c>
      <c r="N102" s="1295" t="str">
        <f t="shared" si="3"/>
        <v/>
      </c>
      <c r="O102" s="590" t="str">
        <f t="shared" si="0"/>
        <v>Scope 3</v>
      </c>
      <c r="P102" s="674" t="str">
        <f t="shared" si="4"/>
        <v/>
      </c>
      <c r="Q102"/>
      <c r="R102" s="1297" t="str">
        <f t="shared" si="13"/>
        <v/>
      </c>
      <c r="S102" s="183" t="str" cm="1">
        <f t="array" ref="S102">IFERROR((_xlfn.IFS(B102="Landfill",(N102/'Carbon factors'!$DM$8),B102="Buried by staff",(N102/'Carbon factors'!$DM$8))),"")</f>
        <v/>
      </c>
      <c r="T102" s="1296" t="str">
        <f>IFERROR(((VLOOKUP(B102,'Carbon factors'!$FJ$8:$FN$15,5,0))*E102),"")</f>
        <v/>
      </c>
      <c r="U102"/>
    </row>
    <row r="103" spans="1:21" x14ac:dyDescent="0.35">
      <c r="A103" s="898"/>
      <c r="B103" s="579"/>
      <c r="C103" s="186"/>
      <c r="D103" s="179" t="s">
        <v>332</v>
      </c>
      <c r="E103" s="577"/>
      <c r="F103" s="186"/>
      <c r="G103" s="501" t="str" cm="1">
        <f t="array" ref="G103">IFERROR((_xlfn.IFS(F103=$Y$17,"3",F103=$Y$18,"2",F103=$Y$19,"1",F103=$Y$20,"1"))*E103,"")</f>
        <v/>
      </c>
      <c r="H103" s="168"/>
      <c r="I103" s="186"/>
      <c r="J103" s="183" t="str">
        <f>IFERROR(H103/VLOOKUP(I103,'$ Conversion'!$A$9:$B$40,2,0),"")</f>
        <v/>
      </c>
      <c r="K103" s="212"/>
      <c r="L103" s="1217">
        <f t="shared" si="2"/>
        <v>0</v>
      </c>
      <c r="M103" s="1407" t="str">
        <f>IFERROR(VLOOKUP($B103,'Carbon factors'!$FJ$8:$FL$15,3,0),"")</f>
        <v/>
      </c>
      <c r="N103" s="1295" t="str">
        <f t="shared" si="3"/>
        <v/>
      </c>
      <c r="O103" s="590" t="str">
        <f t="shared" si="0"/>
        <v>Scope 3</v>
      </c>
      <c r="P103" s="674" t="str">
        <f t="shared" si="4"/>
        <v/>
      </c>
      <c r="Q103"/>
      <c r="R103" s="1297" t="str">
        <f t="shared" si="13"/>
        <v/>
      </c>
      <c r="S103" s="183" t="str" cm="1">
        <f t="array" ref="S103">IFERROR((_xlfn.IFS(B103="Landfill",(N103/'Carbon factors'!$DM$8),B103="Buried by staff",(N103/'Carbon factors'!$DM$8))),"")</f>
        <v/>
      </c>
      <c r="T103" s="1296" t="str">
        <f>IFERROR(((VLOOKUP(B103,'Carbon factors'!$FJ$8:$FN$15,5,0))*E103),"")</f>
        <v/>
      </c>
      <c r="U103"/>
    </row>
    <row r="104" spans="1:21" x14ac:dyDescent="0.35">
      <c r="A104" s="898"/>
      <c r="B104" s="579"/>
      <c r="C104" s="186"/>
      <c r="D104" s="179" t="s">
        <v>332</v>
      </c>
      <c r="E104" s="577"/>
      <c r="F104" s="186"/>
      <c r="G104" s="501" t="str" cm="1">
        <f t="array" ref="G104">IFERROR((_xlfn.IFS(F104=$Y$17,"3",F104=$Y$18,"2",F104=$Y$19,"1",F104=$Y$20,"1"))*E104,"")</f>
        <v/>
      </c>
      <c r="H104" s="168"/>
      <c r="I104" s="186"/>
      <c r="J104" s="183" t="str">
        <f>IFERROR(H104/VLOOKUP(I104,'$ Conversion'!$A$9:$B$40,2,0),"")</f>
        <v/>
      </c>
      <c r="K104" s="212"/>
      <c r="L104" s="1217">
        <f t="shared" si="2"/>
        <v>0</v>
      </c>
      <c r="M104" s="1407" t="str">
        <f>IFERROR(VLOOKUP($B104,'Carbon factors'!$FJ$8:$FL$15,3,0),"")</f>
        <v/>
      </c>
      <c r="N104" s="1295" t="str">
        <f t="shared" si="3"/>
        <v/>
      </c>
      <c r="O104" s="590" t="str">
        <f t="shared" si="0"/>
        <v>Scope 3</v>
      </c>
      <c r="P104" s="674" t="str">
        <f t="shared" si="4"/>
        <v/>
      </c>
      <c r="Q104"/>
      <c r="R104" s="1297" t="str">
        <f t="shared" si="13"/>
        <v/>
      </c>
      <c r="S104" s="183" t="str" cm="1">
        <f t="array" ref="S104">IFERROR((_xlfn.IFS(B104="Landfill",(N104/'Carbon factors'!$DM$8),B104="Buried by staff",(N104/'Carbon factors'!$DM$8))),"")</f>
        <v/>
      </c>
      <c r="T104" s="1296" t="str">
        <f>IFERROR(((VLOOKUP(B104,'Carbon factors'!$FJ$8:$FN$15,5,0))*E104),"")</f>
        <v/>
      </c>
      <c r="U104"/>
    </row>
    <row r="105" spans="1:21" x14ac:dyDescent="0.35">
      <c r="A105" s="898"/>
      <c r="B105" s="579"/>
      <c r="C105" s="186"/>
      <c r="D105" s="179" t="s">
        <v>332</v>
      </c>
      <c r="E105" s="577"/>
      <c r="F105" s="186"/>
      <c r="G105" s="501" t="str" cm="1">
        <f t="array" ref="G105">IFERROR((_xlfn.IFS(F105=$Y$17,"3",F105=$Y$18,"2",F105=$Y$19,"1",F105=$Y$20,"1"))*E105,"")</f>
        <v/>
      </c>
      <c r="H105" s="168"/>
      <c r="I105" s="186"/>
      <c r="J105" s="183" t="str">
        <f>IFERROR(H105/VLOOKUP(I105,'$ Conversion'!$A$9:$B$40,2,0),"")</f>
        <v/>
      </c>
      <c r="K105" s="212"/>
      <c r="L105" s="1217">
        <f t="shared" si="2"/>
        <v>0</v>
      </c>
      <c r="M105" s="1407" t="str">
        <f>IFERROR(VLOOKUP($B105,'Carbon factors'!$FJ$8:$FL$15,3,0),"")</f>
        <v/>
      </c>
      <c r="N105" s="1295" t="str">
        <f t="shared" si="3"/>
        <v/>
      </c>
      <c r="O105" s="590" t="str">
        <f t="shared" si="0"/>
        <v>Scope 3</v>
      </c>
      <c r="P105" s="674" t="str">
        <f t="shared" si="4"/>
        <v/>
      </c>
      <c r="Q105"/>
      <c r="R105" s="1297" t="str">
        <f t="shared" si="13"/>
        <v/>
      </c>
      <c r="S105" s="183" t="str" cm="1">
        <f t="array" ref="S105">IFERROR((_xlfn.IFS(B105="Landfill",(N105/'Carbon factors'!$DM$8),B105="Buried by staff",(N105/'Carbon factors'!$DM$8))),"")</f>
        <v/>
      </c>
      <c r="T105" s="1296" t="str">
        <f>IFERROR(((VLOOKUP(B105,'Carbon factors'!$FJ$8:$FN$15,5,0))*E105),"")</f>
        <v/>
      </c>
      <c r="U105"/>
    </row>
    <row r="106" spans="1:21" x14ac:dyDescent="0.35">
      <c r="A106" s="898"/>
      <c r="B106" s="579"/>
      <c r="C106" s="186"/>
      <c r="D106" s="179" t="s">
        <v>332</v>
      </c>
      <c r="E106" s="577"/>
      <c r="F106" s="186"/>
      <c r="G106" s="501" t="str" cm="1">
        <f t="array" ref="G106">IFERROR((_xlfn.IFS(F106=$Y$17,"3",F106=$Y$18,"2",F106=$Y$19,"1",F106=$Y$20,"1"))*E106,"")</f>
        <v/>
      </c>
      <c r="H106" s="168"/>
      <c r="I106" s="186"/>
      <c r="J106" s="183" t="str">
        <f>IFERROR(H106/VLOOKUP(I106,'$ Conversion'!$A$9:$B$40,2,0),"")</f>
        <v/>
      </c>
      <c r="K106" s="212"/>
      <c r="L106" s="1217">
        <f t="shared" si="2"/>
        <v>0</v>
      </c>
      <c r="M106" s="1407" t="str">
        <f>IFERROR(VLOOKUP($B106,'Carbon factors'!$FJ$8:$FL$15,3,0),"")</f>
        <v/>
      </c>
      <c r="N106" s="1295" t="str">
        <f t="shared" si="3"/>
        <v/>
      </c>
      <c r="O106" s="590" t="str">
        <f t="shared" si="0"/>
        <v>Scope 3</v>
      </c>
      <c r="P106" s="674" t="str">
        <f t="shared" si="4"/>
        <v/>
      </c>
      <c r="Q106"/>
      <c r="R106" s="1297" t="str">
        <f t="shared" si="13"/>
        <v/>
      </c>
      <c r="S106" s="183" t="str" cm="1">
        <f t="array" ref="S106">IFERROR((_xlfn.IFS(B106="Landfill",(N106/'Carbon factors'!$DM$8),B106="Buried by staff",(N106/'Carbon factors'!$DM$8))),"")</f>
        <v/>
      </c>
      <c r="T106" s="1296" t="str">
        <f>IFERROR(((VLOOKUP(B106,'Carbon factors'!$FJ$8:$FN$15,5,0))*E106),"")</f>
        <v/>
      </c>
      <c r="U106"/>
    </row>
    <row r="107" spans="1:21" x14ac:dyDescent="0.35">
      <c r="A107" s="898"/>
      <c r="B107" s="579"/>
      <c r="C107" s="186"/>
      <c r="D107" s="179" t="s">
        <v>332</v>
      </c>
      <c r="E107" s="577"/>
      <c r="F107" s="186"/>
      <c r="G107" s="501" t="str" cm="1">
        <f t="array" ref="G107">IFERROR((_xlfn.IFS(F107=$Y$17,"3",F107=$Y$18,"2",F107=$Y$19,"1",F107=$Y$20,"1"))*E107,"")</f>
        <v/>
      </c>
      <c r="H107" s="168"/>
      <c r="I107" s="186"/>
      <c r="J107" s="183" t="str">
        <f>IFERROR(H107/VLOOKUP(I107,'$ Conversion'!$A$9:$B$40,2,0),"")</f>
        <v/>
      </c>
      <c r="K107" s="212"/>
      <c r="L107" s="1217">
        <f t="shared" si="2"/>
        <v>0</v>
      </c>
      <c r="M107" s="1407" t="str">
        <f>IFERROR(VLOOKUP($B107,'Carbon factors'!$FJ$8:$FL$15,3,0),"")</f>
        <v/>
      </c>
      <c r="N107" s="1295" t="str">
        <f t="shared" si="3"/>
        <v/>
      </c>
      <c r="O107" s="590" t="str">
        <f t="shared" si="0"/>
        <v>Scope 3</v>
      </c>
      <c r="P107" s="674" t="str">
        <f t="shared" si="4"/>
        <v/>
      </c>
      <c r="Q107"/>
      <c r="R107" s="1297" t="str">
        <f t="shared" si="13"/>
        <v/>
      </c>
      <c r="S107" s="183" t="str" cm="1">
        <f t="array" ref="S107">IFERROR((_xlfn.IFS(B107="Landfill",(N107/'Carbon factors'!$DM$8),B107="Buried by staff",(N107/'Carbon factors'!$DM$8))),"")</f>
        <v/>
      </c>
      <c r="T107" s="1296" t="str">
        <f>IFERROR(((VLOOKUP(B107,'Carbon factors'!$FJ$8:$FN$15,5,0))*E107),"")</f>
        <v/>
      </c>
      <c r="U107"/>
    </row>
    <row r="108" spans="1:21" ht="15" thickBot="1" x14ac:dyDescent="0.4">
      <c r="A108" s="899"/>
      <c r="B108" s="580"/>
      <c r="C108" s="188"/>
      <c r="D108" s="180" t="s">
        <v>332</v>
      </c>
      <c r="E108" s="575"/>
      <c r="F108" s="188"/>
      <c r="G108" s="502" t="str" cm="1">
        <f t="array" ref="G108">IFERROR((_xlfn.IFS(F108=$Y$17,"3",F108=$Y$18,"2",F108=$Y$19,"1",F108=$Y$20,"1"))*E108,"")</f>
        <v/>
      </c>
      <c r="H108" s="187"/>
      <c r="I108" s="188"/>
      <c r="J108" s="184" t="str">
        <f>IFERROR(H108/VLOOKUP(I108,'$ Conversion'!$A$9:$B$40,2,0),"")</f>
        <v/>
      </c>
      <c r="K108" s="213"/>
      <c r="L108" s="1218">
        <f t="shared" si="2"/>
        <v>0</v>
      </c>
      <c r="M108" s="1408" t="str">
        <f>IFERROR(VLOOKUP($B108,'Carbon factors'!$FJ$8:$FL$15,3,0),"")</f>
        <v/>
      </c>
      <c r="N108" s="1298" t="str">
        <f t="shared" si="3"/>
        <v/>
      </c>
      <c r="O108" s="592" t="str">
        <f t="shared" si="0"/>
        <v>Scope 3</v>
      </c>
      <c r="P108" s="675" t="str">
        <f t="shared" si="4"/>
        <v/>
      </c>
      <c r="Q108"/>
      <c r="R108" s="1455" t="str">
        <f t="shared" si="13"/>
        <v/>
      </c>
      <c r="S108" s="184" t="str" cm="1">
        <f t="array" ref="S108">IFERROR((_xlfn.IFS(B108="Landfill",(N108/'Carbon factors'!$DM$8),B108="Buried by staff",(N108/'Carbon factors'!$DM$8))),"")</f>
        <v/>
      </c>
      <c r="T108" s="1456" t="str">
        <f>IFERROR(((VLOOKUP(B108,'Carbon factors'!$FJ$8:$FN$15,5,0))*E108),"")</f>
        <v/>
      </c>
      <c r="U108"/>
    </row>
  </sheetData>
  <sheetProtection algorithmName="SHA-512" hashValue="z28lTIUPxKwNIMFeWrAh6Y0e8QHtDgcTaxsxHTQ6rf4vmf9QeenBe3CpvIPPRWsKHAvUekEOeD2OhXIF6EZswA==" saltValue="0m9OsVrA6eNN//7DD0O3fQ==" spinCount="100000" sheet="1" objects="1" scenarios="1"/>
  <protectedRanges>
    <protectedRange sqref="A17:A108" name="Range2_2_1_1"/>
    <protectedRange sqref="H17:I108 K17:K108 B17:C108 E17:F108" name="Range1"/>
    <protectedRange sqref="K2" name="Range2"/>
  </protectedRanges>
  <mergeCells count="13">
    <mergeCell ref="V15:Y15"/>
    <mergeCell ref="J2:J4"/>
    <mergeCell ref="A1:B1"/>
    <mergeCell ref="D6:E6"/>
    <mergeCell ref="D13:E13"/>
    <mergeCell ref="D8:E12"/>
    <mergeCell ref="A2:E2"/>
    <mergeCell ref="A3:E3"/>
    <mergeCell ref="A4:E4"/>
    <mergeCell ref="A8:A12"/>
    <mergeCell ref="D7:E7"/>
    <mergeCell ref="K2:P4"/>
    <mergeCell ref="J6:P9"/>
  </mergeCells>
  <phoneticPr fontId="10" type="noConversion"/>
  <conditionalFormatting sqref="N17:N108">
    <cfRule type="colorScale" priority="2">
      <colorScale>
        <cfvo type="min"/>
        <cfvo type="percentile" val="50"/>
        <cfvo type="max"/>
        <color rgb="FF00B050"/>
        <color rgb="FFFFEB84"/>
        <color rgb="FFFF0000"/>
      </colorScale>
    </cfRule>
  </conditionalFormatting>
  <dataValidations count="4">
    <dataValidation type="list" allowBlank="1" showInputMessage="1" showErrorMessage="1" sqref="F17:F108" xr:uid="{21D96CC2-0EEC-4433-83A4-3D65953359B0}">
      <formula1>$Y$17:$Y$20</formula1>
    </dataValidation>
    <dataValidation type="list" allowBlank="1" showInputMessage="1" showErrorMessage="1" sqref="B17:B108" xr:uid="{4303E960-7F0D-4B9A-BC0B-C42EDCACCD4E}">
      <formula1>$W$17:$W$23</formula1>
    </dataValidation>
    <dataValidation type="decimal" allowBlank="1" showInputMessage="1" showErrorMessage="1" errorTitle="Number only" error="Enter a number only" sqref="E17:E108 H17:H108" xr:uid="{A1340D09-D890-403D-BFCA-45122D4D26B0}">
      <formula1>0</formula1>
      <formula2>10000000</formula2>
    </dataValidation>
    <dataValidation type="list" allowBlank="1" showInputMessage="1" showErrorMessage="1" sqref="C17:C108" xr:uid="{FDCDADAE-A6C9-402A-9A1F-08A142E17313}">
      <formula1>$X$17:$X$28</formula1>
    </dataValidation>
  </dataValidations>
  <pageMargins left="0.7" right="0.7" top="0.75" bottom="0.75" header="0.3" footer="0.3"/>
  <pageSetup paperSize="9" orientation="portrait" horizontalDpi="360" verticalDpi="36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793A97B-9D30-4971-9D26-B6FFA977D589}">
          <x14:formula1>
            <xm:f>Buildings!$B$9:$B$41</xm:f>
          </x14:formula1>
          <xm:sqref>A17:A108</xm:sqref>
        </x14:dataValidation>
        <x14:dataValidation type="list" allowBlank="1" showInputMessage="1" showErrorMessage="1" xr:uid="{784EC062-70F7-4BD2-A958-4A4D064769E0}">
          <x14:formula1>
            <xm:f>'$ Conversion'!$A$9:$A$34</xm:f>
          </x14:formula1>
          <xm:sqref>I17:I108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73023-0A73-4EAC-B420-74EC05A79E81}">
  <sheetPr codeName="Sheet16">
    <tabColor rgb="FF00B050"/>
  </sheetPr>
  <dimension ref="A1:Q106"/>
  <sheetViews>
    <sheetView topLeftCell="A3" zoomScale="70" zoomScaleNormal="85" workbookViewId="0">
      <selection activeCell="B13" sqref="B13"/>
    </sheetView>
  </sheetViews>
  <sheetFormatPr defaultColWidth="8.81640625" defaultRowHeight="14.5" x14ac:dyDescent="0.35"/>
  <cols>
    <col min="1" max="1" width="41.453125" bestFit="1" customWidth="1"/>
    <col min="2" max="2" width="42.26953125" customWidth="1"/>
    <col min="3" max="3" width="35.453125" customWidth="1"/>
    <col min="4" max="4" width="19" customWidth="1"/>
    <col min="5" max="5" width="21.453125" customWidth="1"/>
    <col min="6" max="6" width="42.81640625" customWidth="1"/>
    <col min="7" max="7" width="37.81640625" style="4" customWidth="1"/>
    <col min="8" max="8" width="27.1796875" bestFit="1" customWidth="1"/>
    <col min="9" max="9" width="17.81640625" style="706" customWidth="1"/>
    <col min="10" max="10" width="19.7265625" style="567" customWidth="1"/>
    <col min="11" max="12" width="19.453125" style="567" customWidth="1"/>
    <col min="13" max="13" width="16.7265625" customWidth="1"/>
    <col min="14" max="14" width="14.26953125" bestFit="1" customWidth="1"/>
    <col min="15" max="15" width="15.26953125" customWidth="1"/>
    <col min="16" max="16" width="22" customWidth="1"/>
    <col min="17" max="17" width="109.453125" style="4" customWidth="1"/>
    <col min="18" max="18" width="11.1796875" customWidth="1"/>
  </cols>
  <sheetData>
    <row r="1" spans="1:17" ht="51" customHeight="1" thickBot="1" x14ac:dyDescent="0.4">
      <c r="A1" s="1901" t="s">
        <v>415</v>
      </c>
      <c r="B1" s="1920"/>
      <c r="C1" s="1921" t="s">
        <v>1052</v>
      </c>
      <c r="D1" s="1922"/>
      <c r="E1" s="1923"/>
    </row>
    <row r="2" spans="1:17" ht="78.75" customHeight="1" x14ac:dyDescent="0.35">
      <c r="A2" s="1815" t="s">
        <v>1053</v>
      </c>
      <c r="B2" s="1816"/>
      <c r="C2" s="1819"/>
      <c r="D2" s="1819"/>
      <c r="E2" s="1820"/>
      <c r="F2" s="4"/>
      <c r="H2" s="1765" t="s">
        <v>309</v>
      </c>
      <c r="I2" s="1924" t="s">
        <v>509</v>
      </c>
      <c r="J2" s="1925"/>
      <c r="K2" s="1925"/>
      <c r="L2" s="1925"/>
      <c r="M2" s="1925"/>
      <c r="N2" s="1925"/>
      <c r="O2" s="1925"/>
      <c r="P2" s="1925"/>
      <c r="Q2" s="1926"/>
    </row>
    <row r="3" spans="1:17" ht="62.25" customHeight="1" x14ac:dyDescent="0.35">
      <c r="A3" s="1818" t="s">
        <v>1054</v>
      </c>
      <c r="B3" s="1819"/>
      <c r="C3" s="1819"/>
      <c r="D3" s="1819"/>
      <c r="E3" s="1820"/>
      <c r="F3" s="4"/>
      <c r="H3" s="1766"/>
      <c r="I3" s="1927"/>
      <c r="J3" s="1928"/>
      <c r="K3" s="1928"/>
      <c r="L3" s="1928"/>
      <c r="M3" s="1928"/>
      <c r="N3" s="1928"/>
      <c r="O3" s="1928"/>
      <c r="P3" s="1928"/>
      <c r="Q3" s="1929"/>
    </row>
    <row r="4" spans="1:17" ht="45.75" customHeight="1" thickBot="1" x14ac:dyDescent="0.4">
      <c r="A4" s="1821" t="s">
        <v>1055</v>
      </c>
      <c r="B4" s="1822"/>
      <c r="C4" s="1822"/>
      <c r="D4" s="1822"/>
      <c r="E4" s="1823"/>
      <c r="F4" s="4"/>
      <c r="H4" s="1767"/>
      <c r="I4" s="1930"/>
      <c r="J4" s="1931"/>
      <c r="K4" s="1931"/>
      <c r="L4" s="1931"/>
      <c r="M4" s="1931"/>
      <c r="N4" s="1931"/>
      <c r="O4" s="1931"/>
      <c r="P4" s="1931"/>
      <c r="Q4" s="1932"/>
    </row>
    <row r="5" spans="1:17" ht="15" thickBot="1" x14ac:dyDescent="0.4">
      <c r="I5"/>
      <c r="J5" s="706"/>
      <c r="M5" s="567"/>
    </row>
    <row r="6" spans="1:17" ht="15" thickBot="1" x14ac:dyDescent="0.4">
      <c r="B6" s="321"/>
      <c r="H6" s="1765" t="s">
        <v>619</v>
      </c>
      <c r="I6" s="1688" t="s">
        <v>1056</v>
      </c>
      <c r="J6" s="1689"/>
      <c r="K6" s="1689"/>
      <c r="L6" s="1689"/>
      <c r="M6" s="1689"/>
      <c r="N6" s="1689"/>
      <c r="O6" s="1689"/>
      <c r="P6" s="1689"/>
      <c r="Q6" s="1690"/>
    </row>
    <row r="7" spans="1:17" ht="41.25" customHeight="1" thickBot="1" x14ac:dyDescent="0.4">
      <c r="A7" s="445" t="s">
        <v>1057</v>
      </c>
      <c r="B7" s="443">
        <f>SUMIF(O13:O106, "Scope 3",N13:N106)/1000</f>
        <v>0</v>
      </c>
      <c r="C7" s="441" t="s">
        <v>316</v>
      </c>
      <c r="D7" s="1697" t="s">
        <v>1058</v>
      </c>
      <c r="E7" s="1699"/>
      <c r="H7" s="1766"/>
      <c r="I7" s="1825"/>
      <c r="J7" s="1826"/>
      <c r="K7" s="1826"/>
      <c r="L7" s="1826"/>
      <c r="M7" s="1826"/>
      <c r="N7" s="1826"/>
      <c r="O7" s="1826"/>
      <c r="P7" s="1826"/>
      <c r="Q7" s="1827"/>
    </row>
    <row r="8" spans="1:17" ht="45.75" customHeight="1" thickBot="1" x14ac:dyDescent="0.4">
      <c r="A8" s="445" t="s">
        <v>1059</v>
      </c>
      <c r="B8" s="443">
        <f>SUMIF(O13:O106, "Scope 3",M13:M106)/1000</f>
        <v>0</v>
      </c>
      <c r="C8" s="441" t="s">
        <v>316</v>
      </c>
      <c r="D8" s="1703"/>
      <c r="E8" s="1705"/>
      <c r="F8" s="417"/>
      <c r="H8" s="1767"/>
      <c r="I8" s="1691"/>
      <c r="J8" s="1692"/>
      <c r="K8" s="1692"/>
      <c r="L8" s="1692"/>
      <c r="M8" s="1692"/>
      <c r="N8" s="1692"/>
      <c r="O8" s="1692"/>
      <c r="P8" s="1692"/>
      <c r="Q8" s="1693"/>
    </row>
    <row r="9" spans="1:17" ht="18.75" customHeight="1" x14ac:dyDescent="0.35"/>
    <row r="10" spans="1:17" ht="15" thickBot="1" x14ac:dyDescent="0.4"/>
    <row r="11" spans="1:17" s="214" customFormat="1" ht="72.5" x14ac:dyDescent="0.35">
      <c r="A11" s="929" t="s">
        <v>1060</v>
      </c>
      <c r="B11" s="929" t="s">
        <v>1061</v>
      </c>
      <c r="C11" s="930" t="s">
        <v>1062</v>
      </c>
      <c r="D11" s="931" t="s">
        <v>1063</v>
      </c>
      <c r="E11" s="931" t="s">
        <v>1064</v>
      </c>
      <c r="F11" s="1494" t="s">
        <v>619</v>
      </c>
      <c r="G11" s="929" t="s">
        <v>1065</v>
      </c>
      <c r="H11" s="931" t="s">
        <v>1061</v>
      </c>
      <c r="I11" s="931" t="s">
        <v>1066</v>
      </c>
      <c r="J11" s="931" t="s">
        <v>1067</v>
      </c>
      <c r="K11" s="932" t="s">
        <v>1068</v>
      </c>
      <c r="L11" s="932" t="s">
        <v>1069</v>
      </c>
      <c r="M11" s="933" t="s">
        <v>1070</v>
      </c>
      <c r="N11" s="933" t="s">
        <v>1071</v>
      </c>
      <c r="O11" s="1494" t="s">
        <v>544</v>
      </c>
      <c r="P11" s="929" t="s">
        <v>1072</v>
      </c>
      <c r="Q11" s="934" t="s">
        <v>1073</v>
      </c>
    </row>
    <row r="12" spans="1:17" ht="94.5" customHeight="1" thickBot="1" x14ac:dyDescent="0.4">
      <c r="A12" s="1096" t="s">
        <v>329</v>
      </c>
      <c r="B12" s="1097" t="s">
        <v>1074</v>
      </c>
      <c r="C12" s="1098" t="s">
        <v>1075</v>
      </c>
      <c r="D12" s="1099" t="s">
        <v>1076</v>
      </c>
      <c r="E12" s="1099" t="s">
        <v>1076</v>
      </c>
      <c r="F12" s="1495" t="s">
        <v>1077</v>
      </c>
      <c r="G12" s="1496"/>
      <c r="H12" s="935"/>
      <c r="I12" s="935"/>
      <c r="J12" s="935" t="s">
        <v>1078</v>
      </c>
      <c r="K12" s="936" t="s">
        <v>1079</v>
      </c>
      <c r="L12" s="936"/>
      <c r="M12" s="1919" t="s">
        <v>1080</v>
      </c>
      <c r="N12" s="1919"/>
      <c r="O12" s="1497" t="s">
        <v>561</v>
      </c>
      <c r="P12" s="1501"/>
      <c r="Q12" s="1502"/>
    </row>
    <row r="13" spans="1:17" ht="30" customHeight="1" x14ac:dyDescent="0.35">
      <c r="A13" s="897"/>
      <c r="B13" s="578"/>
      <c r="C13" s="1103"/>
      <c r="D13" s="1100"/>
      <c r="E13" s="1100"/>
      <c r="F13" s="1191"/>
      <c r="G13" s="1271" t="str">
        <f>IFERROR(VLOOKUP(B13,'Inhaler properties'!$L$3:$V$28,4,0),"")</f>
        <v/>
      </c>
      <c r="H13" s="433" t="str">
        <f>IFERROR(VLOOKUP(B13,'Inhaler properties'!$L$3:$V$28,2,0),"")</f>
        <v/>
      </c>
      <c r="I13" s="433" t="str">
        <f>IFERROR(VLOOKUP(B13,'Inhaler properties'!$L$3:$V$28,3,0),"")</f>
        <v/>
      </c>
      <c r="J13" s="202" t="str">
        <f t="shared" ref="J13:J44" si="0">IFERROR((K13*C13),"")</f>
        <v/>
      </c>
      <c r="K13" s="927" t="str">
        <f>IFERROR((VLOOKUP(B13,'Inhaler properties'!$L$3:$U$28,9,0)),"")</f>
        <v/>
      </c>
      <c r="L13" s="202" t="str">
        <f>IFERROR(((J13*VLOOKUP(I13,'Inhaler properties'!$A$21:$B$24,2,0))/1000),"")</f>
        <v/>
      </c>
      <c r="M13" s="996" t="str">
        <f t="shared" ref="M13:M44" si="1">IFERROR((K13*D13*C13),"")</f>
        <v/>
      </c>
      <c r="N13" s="997" t="str">
        <f t="shared" ref="N13:N44" si="2">IFERROR((K13*E13*C13),"")</f>
        <v/>
      </c>
      <c r="O13" s="1498" t="s">
        <v>192</v>
      </c>
      <c r="P13" s="216" t="str">
        <f>IFERROR((VLOOKUP(B13,'Inhaler properties'!$L$2:$Y$28,12,0)),"")</f>
        <v/>
      </c>
      <c r="Q13" s="811" t="str">
        <f>IFERROR((VLOOKUP(B13,'Inhaler properties'!$L$2:$Y$28,13,0)),"")</f>
        <v/>
      </c>
    </row>
    <row r="14" spans="1:17" ht="30" customHeight="1" x14ac:dyDescent="0.35">
      <c r="A14" s="898"/>
      <c r="B14" s="579"/>
      <c r="C14" s="1102"/>
      <c r="D14" s="993"/>
      <c r="E14" s="993"/>
      <c r="F14" s="1192"/>
      <c r="G14" s="1271" t="str">
        <f>IFERROR(VLOOKUP(B14,'Inhaler properties'!$L$3:$V$28,4,0),"")</f>
        <v/>
      </c>
      <c r="H14" s="433" t="str">
        <f>IFERROR(VLOOKUP(B14,'Inhaler properties'!$L$3:$V$28,2,0),"")</f>
        <v/>
      </c>
      <c r="I14" s="165" t="str">
        <f>IFERROR(VLOOKUP(B14,'Inhaler properties'!$L$3:$V$28,3,0),"")</f>
        <v/>
      </c>
      <c r="J14" s="202" t="str">
        <f t="shared" si="0"/>
        <v/>
      </c>
      <c r="K14" s="928" t="str">
        <f>IFERROR((VLOOKUP(B14,'Inhaler properties'!$L$3:$U$28,9,0)),"")</f>
        <v/>
      </c>
      <c r="L14" s="202" t="str">
        <f>IFERROR(((J14*VLOOKUP(I14,'Inhaler properties'!$A$21:$B$24,2,0))/1000),"")</f>
        <v/>
      </c>
      <c r="M14" s="998" t="str">
        <f t="shared" si="1"/>
        <v/>
      </c>
      <c r="N14" s="999" t="str">
        <f t="shared" si="2"/>
        <v/>
      </c>
      <c r="O14" s="1499" t="s">
        <v>192</v>
      </c>
      <c r="P14" s="217" t="str">
        <f>IFERROR((VLOOKUP(B14,'Inhaler properties'!$L$2:$Y$28,12,0)),"")</f>
        <v/>
      </c>
      <c r="Q14" s="195" t="str">
        <f>IFERROR((VLOOKUP(B14,'Inhaler properties'!$L$2:$Y$28,13,0)),"")</f>
        <v/>
      </c>
    </row>
    <row r="15" spans="1:17" ht="30" customHeight="1" x14ac:dyDescent="0.35">
      <c r="A15" s="898"/>
      <c r="B15" s="579"/>
      <c r="C15" s="1102"/>
      <c r="D15" s="993"/>
      <c r="E15" s="993"/>
      <c r="F15" s="1192"/>
      <c r="G15" s="1271" t="str">
        <f>IFERROR(VLOOKUP(B15,'Inhaler properties'!$L$3:$V$28,4,0),"")</f>
        <v/>
      </c>
      <c r="H15" s="433" t="str">
        <f>IFERROR(VLOOKUP(B15,'Inhaler properties'!$L$3:$V$28,2,0),"")</f>
        <v/>
      </c>
      <c r="I15" s="165" t="str">
        <f>IFERROR(VLOOKUP(B15,'Inhaler properties'!$L$3:$V$28,3,0),"")</f>
        <v/>
      </c>
      <c r="J15" s="202" t="str">
        <f t="shared" si="0"/>
        <v/>
      </c>
      <c r="K15" s="928" t="str">
        <f>IFERROR((VLOOKUP(B15,'Inhaler properties'!$L$3:$U$28,9,0)),"")</f>
        <v/>
      </c>
      <c r="L15" s="202" t="str">
        <f>IFERROR(((J15*VLOOKUP(I15,'Inhaler properties'!$A$21:$B$24,2,0))/1000),"")</f>
        <v/>
      </c>
      <c r="M15" s="998" t="str">
        <f t="shared" si="1"/>
        <v/>
      </c>
      <c r="N15" s="999" t="str">
        <f t="shared" si="2"/>
        <v/>
      </c>
      <c r="O15" s="1499" t="s">
        <v>192</v>
      </c>
      <c r="P15" s="217" t="str">
        <f>IFERROR((VLOOKUP(B15,'Inhaler properties'!$L$2:$Y$28,12,0)),"")</f>
        <v/>
      </c>
      <c r="Q15" s="195" t="str">
        <f>IFERROR((VLOOKUP(B15,'Inhaler properties'!$L$2:$Y$28,13,0)),"")</f>
        <v/>
      </c>
    </row>
    <row r="16" spans="1:17" ht="30" customHeight="1" x14ac:dyDescent="0.35">
      <c r="A16" s="898"/>
      <c r="B16" s="579"/>
      <c r="C16" s="1102"/>
      <c r="D16" s="993"/>
      <c r="E16" s="993"/>
      <c r="F16" s="1192"/>
      <c r="G16" s="1271" t="str">
        <f>IFERROR(VLOOKUP(B16,'Inhaler properties'!$L$3:$V$28,4,0),"")</f>
        <v/>
      </c>
      <c r="H16" s="433" t="str">
        <f>IFERROR(VLOOKUP(B16,'Inhaler properties'!$L$3:$V$28,2,0),"")</f>
        <v/>
      </c>
      <c r="I16" s="165" t="str">
        <f>IFERROR(VLOOKUP(B16,'Inhaler properties'!$L$3:$V$28,3,0),"")</f>
        <v/>
      </c>
      <c r="J16" s="202" t="str">
        <f t="shared" si="0"/>
        <v/>
      </c>
      <c r="K16" s="928" t="str">
        <f>IFERROR((VLOOKUP(B16,'Inhaler properties'!$L$3:$U$28,9,0)),"")</f>
        <v/>
      </c>
      <c r="L16" s="202" t="str">
        <f>IFERROR(((J16*VLOOKUP(I16,'Inhaler properties'!$A$21:$B$24,2,0))/1000),"")</f>
        <v/>
      </c>
      <c r="M16" s="998" t="str">
        <f t="shared" si="1"/>
        <v/>
      </c>
      <c r="N16" s="999" t="str">
        <f t="shared" si="2"/>
        <v/>
      </c>
      <c r="O16" s="1499" t="s">
        <v>192</v>
      </c>
      <c r="P16" s="217" t="str">
        <f>IFERROR((VLOOKUP(B16,'Inhaler properties'!$L$2:$Y$28,12,0)),"")</f>
        <v/>
      </c>
      <c r="Q16" s="195" t="str">
        <f>IFERROR((VLOOKUP(B16,'Inhaler properties'!$L$2:$Y$28,13,0)),"")</f>
        <v/>
      </c>
    </row>
    <row r="17" spans="1:17" ht="30" customHeight="1" x14ac:dyDescent="0.35">
      <c r="A17" s="898"/>
      <c r="B17" s="579"/>
      <c r="C17" s="1102"/>
      <c r="D17" s="993"/>
      <c r="E17" s="993"/>
      <c r="F17" s="1192"/>
      <c r="G17" s="1271" t="str">
        <f>IFERROR(VLOOKUP(B17,'Inhaler properties'!$L$3:$V$28,4,0),"")</f>
        <v/>
      </c>
      <c r="H17" s="433" t="str">
        <f>IFERROR(VLOOKUP(B17,'Inhaler properties'!$L$3:$V$28,2,0),"")</f>
        <v/>
      </c>
      <c r="I17" s="165" t="str">
        <f>IFERROR(VLOOKUP(B17,'Inhaler properties'!$L$3:$V$28,3,0),"")</f>
        <v/>
      </c>
      <c r="J17" s="202" t="str">
        <f t="shared" si="0"/>
        <v/>
      </c>
      <c r="K17" s="928" t="str">
        <f>IFERROR((VLOOKUP(B17,'Inhaler properties'!$L$3:$U$28,9,0)),"")</f>
        <v/>
      </c>
      <c r="L17" s="202" t="str">
        <f>IFERROR(((J17*VLOOKUP(I17,'Inhaler properties'!$A$21:$B$24,2,0))/1000),"")</f>
        <v/>
      </c>
      <c r="M17" s="998" t="str">
        <f t="shared" si="1"/>
        <v/>
      </c>
      <c r="N17" s="999" t="str">
        <f t="shared" si="2"/>
        <v/>
      </c>
      <c r="O17" s="1499" t="s">
        <v>192</v>
      </c>
      <c r="P17" s="217" t="str">
        <f>IFERROR((VLOOKUP(B17,'Inhaler properties'!$L$2:$Y$28,12,0)),"")</f>
        <v/>
      </c>
      <c r="Q17" s="195" t="str">
        <f>IFERROR((VLOOKUP(B17,'Inhaler properties'!$L$2:$Y$28,13,0)),"")</f>
        <v/>
      </c>
    </row>
    <row r="18" spans="1:17" ht="30" customHeight="1" x14ac:dyDescent="0.35">
      <c r="A18" s="898"/>
      <c r="B18" s="579"/>
      <c r="C18" s="1102"/>
      <c r="D18" s="993"/>
      <c r="E18" s="993"/>
      <c r="F18" s="1192"/>
      <c r="G18" s="1271" t="str">
        <f>IFERROR(VLOOKUP(B18,'Inhaler properties'!$L$3:$V$28,4,0),"")</f>
        <v/>
      </c>
      <c r="H18" s="433" t="str">
        <f>IFERROR(VLOOKUP(B18,'Inhaler properties'!$L$3:$V$28,2,0),"")</f>
        <v/>
      </c>
      <c r="I18" s="165" t="str">
        <f>IFERROR(VLOOKUP(B18,'Inhaler properties'!$L$3:$V$28,3,0),"")</f>
        <v/>
      </c>
      <c r="J18" s="202" t="str">
        <f t="shared" si="0"/>
        <v/>
      </c>
      <c r="K18" s="928" t="str">
        <f>IFERROR((VLOOKUP(B18,'Inhaler properties'!$L$3:$U$28,9,0)),"")</f>
        <v/>
      </c>
      <c r="L18" s="202" t="str">
        <f>IFERROR(((J18*VLOOKUP(I18,'Inhaler properties'!$A$21:$B$24,2,0))/1000),"")</f>
        <v/>
      </c>
      <c r="M18" s="998" t="str">
        <f t="shared" si="1"/>
        <v/>
      </c>
      <c r="N18" s="999" t="str">
        <f t="shared" si="2"/>
        <v/>
      </c>
      <c r="O18" s="1499" t="s">
        <v>192</v>
      </c>
      <c r="P18" s="217" t="str">
        <f>IFERROR((VLOOKUP(B18,'Inhaler properties'!$L$2:$Y$28,12,0)),"")</f>
        <v/>
      </c>
      <c r="Q18" s="195" t="str">
        <f>IFERROR((VLOOKUP(B18,'Inhaler properties'!$L$2:$Y$28,13,0)),"")</f>
        <v/>
      </c>
    </row>
    <row r="19" spans="1:17" ht="30" customHeight="1" x14ac:dyDescent="0.35">
      <c r="A19" s="898"/>
      <c r="B19" s="579"/>
      <c r="C19" s="1102"/>
      <c r="D19" s="993"/>
      <c r="E19" s="993"/>
      <c r="F19" s="1192"/>
      <c r="G19" s="1271" t="str">
        <f>IFERROR(VLOOKUP(B19,'Inhaler properties'!$L$3:$V$28,4,0),"")</f>
        <v/>
      </c>
      <c r="H19" s="433" t="str">
        <f>IFERROR(VLOOKUP(B19,'Inhaler properties'!$L$3:$V$28,2,0),"")</f>
        <v/>
      </c>
      <c r="I19" s="165" t="str">
        <f>IFERROR(VLOOKUP(B19,'Inhaler properties'!$L$3:$V$28,3,0),"")</f>
        <v/>
      </c>
      <c r="J19" s="202" t="str">
        <f t="shared" si="0"/>
        <v/>
      </c>
      <c r="K19" s="928" t="str">
        <f>IFERROR((VLOOKUP(B19,'Inhaler properties'!$L$3:$U$28,9,0)),"")</f>
        <v/>
      </c>
      <c r="L19" s="202" t="str">
        <f>IFERROR(((J19*VLOOKUP(I19,'Inhaler properties'!$A$21:$B$24,2,0))/1000),"")</f>
        <v/>
      </c>
      <c r="M19" s="998" t="str">
        <f t="shared" si="1"/>
        <v/>
      </c>
      <c r="N19" s="999" t="str">
        <f t="shared" si="2"/>
        <v/>
      </c>
      <c r="O19" s="1499" t="s">
        <v>192</v>
      </c>
      <c r="P19" s="217" t="str">
        <f>IFERROR((VLOOKUP(B19,'Inhaler properties'!$L$2:$Y$28,12,0)),"")</f>
        <v/>
      </c>
      <c r="Q19" s="195" t="str">
        <f>IFERROR((VLOOKUP(B19,'Inhaler properties'!$L$2:$Y$28,13,0)),"")</f>
        <v/>
      </c>
    </row>
    <row r="20" spans="1:17" ht="30" customHeight="1" x14ac:dyDescent="0.35">
      <c r="A20" s="898"/>
      <c r="B20" s="579"/>
      <c r="C20" s="1102"/>
      <c r="D20" s="993"/>
      <c r="E20" s="993"/>
      <c r="F20" s="1192"/>
      <c r="G20" s="1271" t="str">
        <f>IFERROR(VLOOKUP(B20,'Inhaler properties'!$L$3:$V$28,4,0),"")</f>
        <v/>
      </c>
      <c r="H20" s="433" t="str">
        <f>IFERROR(VLOOKUP(B20,'Inhaler properties'!$L$3:$V$28,2,0),"")</f>
        <v/>
      </c>
      <c r="I20" s="165" t="str">
        <f>IFERROR(VLOOKUP(B20,'Inhaler properties'!$L$3:$V$28,3,0),"")</f>
        <v/>
      </c>
      <c r="J20" s="202" t="str">
        <f t="shared" si="0"/>
        <v/>
      </c>
      <c r="K20" s="928" t="str">
        <f>IFERROR((VLOOKUP(B20,'Inhaler properties'!$L$3:$U$28,9,0)),"")</f>
        <v/>
      </c>
      <c r="L20" s="202" t="str">
        <f>IFERROR(((J20*VLOOKUP(I20,'Inhaler properties'!$A$21:$B$24,2,0))/1000),"")</f>
        <v/>
      </c>
      <c r="M20" s="998" t="str">
        <f t="shared" si="1"/>
        <v/>
      </c>
      <c r="N20" s="999" t="str">
        <f t="shared" si="2"/>
        <v/>
      </c>
      <c r="O20" s="1499" t="s">
        <v>192</v>
      </c>
      <c r="P20" s="217" t="str">
        <f>IFERROR((VLOOKUP(B20,'Inhaler properties'!$L$2:$Y$28,12,0)),"")</f>
        <v/>
      </c>
      <c r="Q20" s="195" t="str">
        <f>IFERROR((VLOOKUP(B20,'Inhaler properties'!$L$2:$Y$28,13,0)),"")</f>
        <v/>
      </c>
    </row>
    <row r="21" spans="1:17" ht="30" customHeight="1" x14ac:dyDescent="0.35">
      <c r="A21" s="898"/>
      <c r="B21" s="579"/>
      <c r="C21" s="1102"/>
      <c r="D21" s="993"/>
      <c r="E21" s="993"/>
      <c r="F21" s="1192"/>
      <c r="G21" s="1271" t="str">
        <f>IFERROR(VLOOKUP(B21,'Inhaler properties'!$L$3:$V$28,4,0),"")</f>
        <v/>
      </c>
      <c r="H21" s="433" t="str">
        <f>IFERROR(VLOOKUP(B21,'Inhaler properties'!$L$3:$V$28,2,0),"")</f>
        <v/>
      </c>
      <c r="I21" s="165" t="str">
        <f>IFERROR(VLOOKUP(B21,'Inhaler properties'!$L$3:$V$28,3,0),"")</f>
        <v/>
      </c>
      <c r="J21" s="202" t="str">
        <f t="shared" si="0"/>
        <v/>
      </c>
      <c r="K21" s="928" t="str">
        <f>IFERROR((VLOOKUP(B21,'Inhaler properties'!$L$3:$U$28,9,0)),"")</f>
        <v/>
      </c>
      <c r="L21" s="202" t="str">
        <f>IFERROR(((J21*VLOOKUP(I21,'Inhaler properties'!$A$21:$B$24,2,0))/1000),"")</f>
        <v/>
      </c>
      <c r="M21" s="998" t="str">
        <f t="shared" si="1"/>
        <v/>
      </c>
      <c r="N21" s="999" t="str">
        <f t="shared" si="2"/>
        <v/>
      </c>
      <c r="O21" s="1499" t="s">
        <v>192</v>
      </c>
      <c r="P21" s="217" t="str">
        <f>IFERROR((VLOOKUP(B21,'Inhaler properties'!$L$2:$Y$28,12,0)),"")</f>
        <v/>
      </c>
      <c r="Q21" s="195" t="str">
        <f>IFERROR((VLOOKUP(B21,'Inhaler properties'!$L$2:$Y$28,13,0)),"")</f>
        <v/>
      </c>
    </row>
    <row r="22" spans="1:17" ht="30" customHeight="1" x14ac:dyDescent="0.35">
      <c r="A22" s="898"/>
      <c r="B22" s="579"/>
      <c r="C22" s="1102"/>
      <c r="D22" s="993"/>
      <c r="E22" s="993"/>
      <c r="F22" s="1192"/>
      <c r="G22" s="1488" t="str">
        <f>IFERROR(VLOOKUP(B22,'Inhaler properties'!$L$3:$V$28,4,0),"")</f>
        <v/>
      </c>
      <c r="H22" s="165" t="str">
        <f>IFERROR(VLOOKUP(B22,'Inhaler properties'!$L$3:$V$28,2,0),"")</f>
        <v/>
      </c>
      <c r="I22" s="165" t="str">
        <f>IFERROR(VLOOKUP(B22,'Inhaler properties'!$L$3:$V$28,3,0),"")</f>
        <v/>
      </c>
      <c r="J22" s="202" t="str">
        <f t="shared" si="0"/>
        <v/>
      </c>
      <c r="K22" s="928" t="str">
        <f>IFERROR((VLOOKUP(B22,'Inhaler properties'!$L$3:$U$28,9,0)),"")</f>
        <v/>
      </c>
      <c r="L22" s="183" t="str">
        <f>IFERROR(((J22*VLOOKUP(I22,'Inhaler properties'!$A$21:$B$24,2,0))/1000),"")</f>
        <v/>
      </c>
      <c r="M22" s="998" t="str">
        <f t="shared" si="1"/>
        <v/>
      </c>
      <c r="N22" s="999" t="str">
        <f t="shared" si="2"/>
        <v/>
      </c>
      <c r="O22" s="1499" t="s">
        <v>192</v>
      </c>
      <c r="P22" s="217" t="str">
        <f>IFERROR((VLOOKUP(B22,'Inhaler properties'!$L$2:$Y$28,12,0)),"")</f>
        <v/>
      </c>
      <c r="Q22" s="195" t="str">
        <f>IFERROR((VLOOKUP(B22,'Inhaler properties'!$L$2:$Y$28,13,0)),"")</f>
        <v/>
      </c>
    </row>
    <row r="23" spans="1:17" ht="30" customHeight="1" x14ac:dyDescent="0.35">
      <c r="A23" s="898"/>
      <c r="B23" s="579"/>
      <c r="C23" s="1102"/>
      <c r="D23" s="993"/>
      <c r="E23" s="993"/>
      <c r="F23" s="1192"/>
      <c r="G23" s="1488" t="str">
        <f>IFERROR(VLOOKUP(B23,'Inhaler properties'!$L$3:$V$28,4,0),"")</f>
        <v/>
      </c>
      <c r="H23" s="165" t="str">
        <f>IFERROR(VLOOKUP(B23,'Inhaler properties'!$L$3:$V$28,2,0),"")</f>
        <v/>
      </c>
      <c r="I23" s="165" t="str">
        <f>IFERROR(VLOOKUP(B23,'Inhaler properties'!$L$3:$V$28,3,0),"")</f>
        <v/>
      </c>
      <c r="J23" s="183" t="str">
        <f t="shared" si="0"/>
        <v/>
      </c>
      <c r="K23" s="928" t="str">
        <f>IFERROR((VLOOKUP(B23,'Inhaler properties'!$L$3:$U$28,9,0)),"")</f>
        <v/>
      </c>
      <c r="L23" s="183" t="str">
        <f>IFERROR(((J23*VLOOKUP(I23,'Inhaler properties'!$A$21:$B$24,2,0))/1000),"")</f>
        <v/>
      </c>
      <c r="M23" s="998" t="str">
        <f t="shared" si="1"/>
        <v/>
      </c>
      <c r="N23" s="999" t="str">
        <f t="shared" si="2"/>
        <v/>
      </c>
      <c r="O23" s="1499" t="s">
        <v>192</v>
      </c>
      <c r="P23" s="217" t="str">
        <f>IFERROR((VLOOKUP(B23,'Inhaler properties'!$L$2:$Y$28,12,0)),"")</f>
        <v/>
      </c>
      <c r="Q23" s="195" t="str">
        <f>IFERROR((VLOOKUP(B23,'Inhaler properties'!$L$2:$Y$28,13,0)),"")</f>
        <v/>
      </c>
    </row>
    <row r="24" spans="1:17" ht="30" customHeight="1" x14ac:dyDescent="0.35">
      <c r="A24" s="898"/>
      <c r="B24" s="579"/>
      <c r="C24" s="1102"/>
      <c r="D24" s="993"/>
      <c r="E24" s="993"/>
      <c r="F24" s="1192"/>
      <c r="G24" s="1488" t="str">
        <f>IFERROR(VLOOKUP(B24,'Inhaler properties'!$L$3:$V$28,4,0),"")</f>
        <v/>
      </c>
      <c r="H24" s="165" t="str">
        <f>IFERROR(VLOOKUP(B24,'Inhaler properties'!$L$3:$V$28,2,0),"")</f>
        <v/>
      </c>
      <c r="I24" s="165" t="str">
        <f>IFERROR(VLOOKUP(B24,'Inhaler properties'!$L$3:$V$28,3,0),"")</f>
        <v/>
      </c>
      <c r="J24" s="183" t="str">
        <f t="shared" si="0"/>
        <v/>
      </c>
      <c r="K24" s="928" t="str">
        <f>IFERROR((VLOOKUP(B24,'Inhaler properties'!$L$3:$U$28,9,0)),"")</f>
        <v/>
      </c>
      <c r="L24" s="183" t="str">
        <f>IFERROR(((J24*VLOOKUP(I24,'Inhaler properties'!$A$21:$B$24,2,0))/1000),"")</f>
        <v/>
      </c>
      <c r="M24" s="998" t="str">
        <f t="shared" si="1"/>
        <v/>
      </c>
      <c r="N24" s="999" t="str">
        <f t="shared" si="2"/>
        <v/>
      </c>
      <c r="O24" s="1499" t="s">
        <v>192</v>
      </c>
      <c r="P24" s="217" t="str">
        <f>IFERROR((VLOOKUP(B24,'Inhaler properties'!$L$2:$Y$28,12,0)),"")</f>
        <v/>
      </c>
      <c r="Q24" s="195" t="str">
        <f>IFERROR((VLOOKUP(B24,'Inhaler properties'!$L$2:$Y$28,13,0)),"")</f>
        <v/>
      </c>
    </row>
    <row r="25" spans="1:17" ht="30" customHeight="1" x14ac:dyDescent="0.35">
      <c r="A25" s="898"/>
      <c r="B25" s="579"/>
      <c r="C25" s="1102"/>
      <c r="D25" s="993"/>
      <c r="E25" s="993"/>
      <c r="F25" s="1192"/>
      <c r="G25" s="1488" t="str">
        <f>IFERROR(VLOOKUP(B25,'Inhaler properties'!$L$3:$V$28,4,0),"")</f>
        <v/>
      </c>
      <c r="H25" s="165" t="str">
        <f>IFERROR(VLOOKUP(B25,'Inhaler properties'!$L$3:$V$28,2,0),"")</f>
        <v/>
      </c>
      <c r="I25" s="165" t="str">
        <f>IFERROR(VLOOKUP(B25,'Inhaler properties'!$L$3:$V$28,3,0),"")</f>
        <v/>
      </c>
      <c r="J25" s="183" t="str">
        <f t="shared" si="0"/>
        <v/>
      </c>
      <c r="K25" s="928" t="str">
        <f>IFERROR((VLOOKUP(B25,'Inhaler properties'!$L$3:$U$28,9,0)),"")</f>
        <v/>
      </c>
      <c r="L25" s="183" t="str">
        <f>IFERROR(((J25*VLOOKUP(I25,'Inhaler properties'!$A$21:$B$24,2,0))/1000),"")</f>
        <v/>
      </c>
      <c r="M25" s="998" t="str">
        <f t="shared" si="1"/>
        <v/>
      </c>
      <c r="N25" s="999" t="str">
        <f t="shared" si="2"/>
        <v/>
      </c>
      <c r="O25" s="1499" t="s">
        <v>192</v>
      </c>
      <c r="P25" s="217" t="str">
        <f>IFERROR((VLOOKUP(B25,'Inhaler properties'!$L$2:$Y$28,12,0)),"")</f>
        <v/>
      </c>
      <c r="Q25" s="195" t="str">
        <f>IFERROR((VLOOKUP(B25,'Inhaler properties'!$L$2:$Y$28,13,0)),"")</f>
        <v/>
      </c>
    </row>
    <row r="26" spans="1:17" ht="30" customHeight="1" x14ac:dyDescent="0.35">
      <c r="A26" s="898"/>
      <c r="B26" s="579"/>
      <c r="C26" s="1102"/>
      <c r="D26" s="993"/>
      <c r="E26" s="993"/>
      <c r="F26" s="1192"/>
      <c r="G26" s="1488" t="str">
        <f>IFERROR(VLOOKUP(B26,'Inhaler properties'!$L$3:$V$28,4,0),"")</f>
        <v/>
      </c>
      <c r="H26" s="165" t="str">
        <f>IFERROR(VLOOKUP(B26,'Inhaler properties'!$L$3:$V$28,2,0),"")</f>
        <v/>
      </c>
      <c r="I26" s="165" t="str">
        <f>IFERROR(VLOOKUP(B26,'Inhaler properties'!$L$3:$V$28,3,0),"")</f>
        <v/>
      </c>
      <c r="J26" s="183" t="str">
        <f t="shared" si="0"/>
        <v/>
      </c>
      <c r="K26" s="928" t="str">
        <f>IFERROR((VLOOKUP(B26,'Inhaler properties'!$L$3:$U$28,9,0)),"")</f>
        <v/>
      </c>
      <c r="L26" s="183" t="str">
        <f>IFERROR(((J26*VLOOKUP(I26,'Inhaler properties'!$A$21:$B$24,2,0))/1000),"")</f>
        <v/>
      </c>
      <c r="M26" s="998" t="str">
        <f t="shared" si="1"/>
        <v/>
      </c>
      <c r="N26" s="999" t="str">
        <f t="shared" si="2"/>
        <v/>
      </c>
      <c r="O26" s="1499" t="s">
        <v>192</v>
      </c>
      <c r="P26" s="217" t="str">
        <f>IFERROR((VLOOKUP(B26,'Inhaler properties'!$L$2:$Y$28,12,0)),"")</f>
        <v/>
      </c>
      <c r="Q26" s="195" t="str">
        <f>IFERROR((VLOOKUP(B26,'Inhaler properties'!$L$2:$Y$28,13,0)),"")</f>
        <v/>
      </c>
    </row>
    <row r="27" spans="1:17" ht="30" customHeight="1" x14ac:dyDescent="0.35">
      <c r="A27" s="898"/>
      <c r="B27" s="579"/>
      <c r="C27" s="1102"/>
      <c r="D27" s="993"/>
      <c r="E27" s="993"/>
      <c r="F27" s="1192"/>
      <c r="G27" s="1488" t="str">
        <f>IFERROR(VLOOKUP(B27,'Inhaler properties'!$L$3:$V$28,4,0),"")</f>
        <v/>
      </c>
      <c r="H27" s="165" t="str">
        <f>IFERROR(VLOOKUP(B27,'Inhaler properties'!$L$3:$V$28,2,0),"")</f>
        <v/>
      </c>
      <c r="I27" s="165" t="str">
        <f>IFERROR(VLOOKUP(B27,'Inhaler properties'!$L$3:$V$28,3,0),"")</f>
        <v/>
      </c>
      <c r="J27" s="183" t="str">
        <f t="shared" si="0"/>
        <v/>
      </c>
      <c r="K27" s="928" t="str">
        <f>IFERROR((VLOOKUP(B27,'Inhaler properties'!$L$3:$U$28,9,0)),"")</f>
        <v/>
      </c>
      <c r="L27" s="183" t="str">
        <f>IFERROR(((J27*VLOOKUP(I27,'Inhaler properties'!$A$21:$B$24,2,0))/1000),"")</f>
        <v/>
      </c>
      <c r="M27" s="998" t="str">
        <f t="shared" si="1"/>
        <v/>
      </c>
      <c r="N27" s="999" t="str">
        <f t="shared" si="2"/>
        <v/>
      </c>
      <c r="O27" s="1499" t="s">
        <v>192</v>
      </c>
      <c r="P27" s="217" t="str">
        <f>IFERROR((VLOOKUP(B27,'Inhaler properties'!$L$2:$Y$28,12,0)),"")</f>
        <v/>
      </c>
      <c r="Q27" s="195" t="str">
        <f>IFERROR((VLOOKUP(B27,'Inhaler properties'!$L$2:$Y$28,13,0)),"")</f>
        <v/>
      </c>
    </row>
    <row r="28" spans="1:17" ht="30" customHeight="1" x14ac:dyDescent="0.35">
      <c r="A28" s="898"/>
      <c r="B28" s="579"/>
      <c r="C28" s="1102"/>
      <c r="D28" s="993"/>
      <c r="E28" s="993"/>
      <c r="F28" s="1192"/>
      <c r="G28" s="1488" t="str">
        <f>IFERROR(VLOOKUP(B28,'Inhaler properties'!$L$3:$V$28,4,0),"")</f>
        <v/>
      </c>
      <c r="H28" s="165" t="str">
        <f>IFERROR(VLOOKUP(B28,'Inhaler properties'!$L$3:$V$28,2,0),"")</f>
        <v/>
      </c>
      <c r="I28" s="165" t="str">
        <f>IFERROR(VLOOKUP(B28,'Inhaler properties'!$L$3:$V$28,3,0),"")</f>
        <v/>
      </c>
      <c r="J28" s="183" t="str">
        <f t="shared" si="0"/>
        <v/>
      </c>
      <c r="K28" s="928" t="str">
        <f>IFERROR((VLOOKUP(B28,'Inhaler properties'!$L$3:$U$28,9,0)),"")</f>
        <v/>
      </c>
      <c r="L28" s="183" t="str">
        <f>IFERROR(((J28*VLOOKUP(I28,'Inhaler properties'!$A$21:$B$24,2,0))/1000),"")</f>
        <v/>
      </c>
      <c r="M28" s="998" t="str">
        <f t="shared" si="1"/>
        <v/>
      </c>
      <c r="N28" s="999" t="str">
        <f t="shared" si="2"/>
        <v/>
      </c>
      <c r="O28" s="1499" t="s">
        <v>192</v>
      </c>
      <c r="P28" s="217" t="str">
        <f>IFERROR((VLOOKUP(B28,'Inhaler properties'!$L$2:$Y$28,12,0)),"")</f>
        <v/>
      </c>
      <c r="Q28" s="195" t="str">
        <f>IFERROR((VLOOKUP(B28,'Inhaler properties'!$L$2:$Y$28,13,0)),"")</f>
        <v/>
      </c>
    </row>
    <row r="29" spans="1:17" ht="30" customHeight="1" x14ac:dyDescent="0.35">
      <c r="A29" s="898"/>
      <c r="B29" s="579"/>
      <c r="C29" s="1102"/>
      <c r="D29" s="993"/>
      <c r="E29" s="993"/>
      <c r="F29" s="1192"/>
      <c r="G29" s="1488" t="str">
        <f>IFERROR(VLOOKUP(B29,'Inhaler properties'!$L$3:$V$28,4,0),"")</f>
        <v/>
      </c>
      <c r="H29" s="165" t="str">
        <f>IFERROR(VLOOKUP(B29,'Inhaler properties'!$L$3:$V$28,2,0),"")</f>
        <v/>
      </c>
      <c r="I29" s="165" t="str">
        <f>IFERROR(VLOOKUP(B29,'Inhaler properties'!$L$3:$V$28,3,0),"")</f>
        <v/>
      </c>
      <c r="J29" s="183" t="str">
        <f t="shared" si="0"/>
        <v/>
      </c>
      <c r="K29" s="928" t="str">
        <f>IFERROR((VLOOKUP(B29,'Inhaler properties'!$L$3:$U$28,9,0)),"")</f>
        <v/>
      </c>
      <c r="L29" s="183" t="str">
        <f>IFERROR(((J29*VLOOKUP(I29,'Inhaler properties'!$A$21:$B$24,2,0))/1000),"")</f>
        <v/>
      </c>
      <c r="M29" s="998" t="str">
        <f t="shared" si="1"/>
        <v/>
      </c>
      <c r="N29" s="999" t="str">
        <f t="shared" si="2"/>
        <v/>
      </c>
      <c r="O29" s="1499" t="s">
        <v>192</v>
      </c>
      <c r="P29" s="217" t="str">
        <f>IFERROR((VLOOKUP(B29,'Inhaler properties'!$L$2:$Y$28,12,0)),"")</f>
        <v/>
      </c>
      <c r="Q29" s="195" t="str">
        <f>IFERROR((VLOOKUP(B29,'Inhaler properties'!$L$2:$Y$28,13,0)),"")</f>
        <v/>
      </c>
    </row>
    <row r="30" spans="1:17" ht="30" customHeight="1" x14ac:dyDescent="0.35">
      <c r="A30" s="898"/>
      <c r="B30" s="579"/>
      <c r="C30" s="1102"/>
      <c r="D30" s="993"/>
      <c r="E30" s="993"/>
      <c r="F30" s="1192"/>
      <c r="G30" s="1488" t="str">
        <f>IFERROR(VLOOKUP(B30,'Inhaler properties'!$L$3:$V$28,4,0),"")</f>
        <v/>
      </c>
      <c r="H30" s="165" t="str">
        <f>IFERROR(VLOOKUP(B30,'Inhaler properties'!$L$3:$V$28,2,0),"")</f>
        <v/>
      </c>
      <c r="I30" s="165" t="str">
        <f>IFERROR(VLOOKUP(B30,'Inhaler properties'!$L$3:$V$28,3,0),"")</f>
        <v/>
      </c>
      <c r="J30" s="183" t="str">
        <f t="shared" si="0"/>
        <v/>
      </c>
      <c r="K30" s="928" t="str">
        <f>IFERROR((VLOOKUP(B30,'Inhaler properties'!$L$3:$U$28,9,0)),"")</f>
        <v/>
      </c>
      <c r="L30" s="183" t="str">
        <f>IFERROR(((J30*VLOOKUP(I30,'Inhaler properties'!$A$21:$B$24,2,0))/1000),"")</f>
        <v/>
      </c>
      <c r="M30" s="998" t="str">
        <f t="shared" si="1"/>
        <v/>
      </c>
      <c r="N30" s="999" t="str">
        <f t="shared" si="2"/>
        <v/>
      </c>
      <c r="O30" s="1499" t="s">
        <v>192</v>
      </c>
      <c r="P30" s="217" t="str">
        <f>IFERROR((VLOOKUP(B30,'Inhaler properties'!$L$2:$Y$28,12,0)),"")</f>
        <v/>
      </c>
      <c r="Q30" s="195" t="str">
        <f>IFERROR((VLOOKUP(B30,'Inhaler properties'!$L$2:$Y$28,13,0)),"")</f>
        <v/>
      </c>
    </row>
    <row r="31" spans="1:17" ht="30" customHeight="1" x14ac:dyDescent="0.35">
      <c r="A31" s="898"/>
      <c r="B31" s="579"/>
      <c r="C31" s="1102"/>
      <c r="D31" s="993"/>
      <c r="E31" s="993"/>
      <c r="F31" s="1192"/>
      <c r="G31" s="1488" t="str">
        <f>IFERROR(VLOOKUP(B31,'Inhaler properties'!$L$3:$V$28,4,0),"")</f>
        <v/>
      </c>
      <c r="H31" s="165" t="str">
        <f>IFERROR(VLOOKUP(B31,'Inhaler properties'!$L$3:$V$28,2,0),"")</f>
        <v/>
      </c>
      <c r="I31" s="165" t="str">
        <f>IFERROR(VLOOKUP(B31,'Inhaler properties'!$L$3:$V$28,3,0),"")</f>
        <v/>
      </c>
      <c r="J31" s="183" t="str">
        <f t="shared" si="0"/>
        <v/>
      </c>
      <c r="K31" s="928" t="str">
        <f>IFERROR((VLOOKUP(B31,'Inhaler properties'!$L$3:$U$28,9,0)),"")</f>
        <v/>
      </c>
      <c r="L31" s="183" t="str">
        <f>IFERROR(((J31*VLOOKUP(I31,'Inhaler properties'!$A$21:$B$24,2,0))/1000),"")</f>
        <v/>
      </c>
      <c r="M31" s="998" t="str">
        <f t="shared" si="1"/>
        <v/>
      </c>
      <c r="N31" s="999" t="str">
        <f t="shared" si="2"/>
        <v/>
      </c>
      <c r="O31" s="1499" t="s">
        <v>192</v>
      </c>
      <c r="P31" s="217" t="str">
        <f>IFERROR((VLOOKUP(B31,'Inhaler properties'!$L$2:$Y$28,12,0)),"")</f>
        <v/>
      </c>
      <c r="Q31" s="195" t="str">
        <f>IFERROR((VLOOKUP(B31,'Inhaler properties'!$L$2:$Y$28,13,0)),"")</f>
        <v/>
      </c>
    </row>
    <row r="32" spans="1:17" ht="30" customHeight="1" x14ac:dyDescent="0.35">
      <c r="A32" s="898"/>
      <c r="B32" s="579"/>
      <c r="C32" s="1102"/>
      <c r="D32" s="993"/>
      <c r="E32" s="993"/>
      <c r="F32" s="1192"/>
      <c r="G32" s="1488" t="str">
        <f>IFERROR(VLOOKUP(B32,'Inhaler properties'!$L$3:$V$28,4,0),"")</f>
        <v/>
      </c>
      <c r="H32" s="165" t="str">
        <f>IFERROR(VLOOKUP(B32,'Inhaler properties'!$L$3:$V$28,2,0),"")</f>
        <v/>
      </c>
      <c r="I32" s="165" t="str">
        <f>IFERROR(VLOOKUP(B32,'Inhaler properties'!$L$3:$V$28,3,0),"")</f>
        <v/>
      </c>
      <c r="J32" s="183" t="str">
        <f t="shared" si="0"/>
        <v/>
      </c>
      <c r="K32" s="928" t="str">
        <f>IFERROR((VLOOKUP(B32,'Inhaler properties'!$L$3:$U$28,9,0)),"")</f>
        <v/>
      </c>
      <c r="L32" s="183" t="str">
        <f>IFERROR(((J32*VLOOKUP(I32,'Inhaler properties'!$A$21:$B$24,2,0))/1000),"")</f>
        <v/>
      </c>
      <c r="M32" s="998" t="str">
        <f t="shared" si="1"/>
        <v/>
      </c>
      <c r="N32" s="999" t="str">
        <f t="shared" si="2"/>
        <v/>
      </c>
      <c r="O32" s="1499" t="s">
        <v>192</v>
      </c>
      <c r="P32" s="217" t="str">
        <f>IFERROR((VLOOKUP(B32,'Inhaler properties'!$L$2:$Y$28,12,0)),"")</f>
        <v/>
      </c>
      <c r="Q32" s="195" t="str">
        <f>IFERROR((VLOOKUP(B32,'Inhaler properties'!$L$2:$Y$28,13,0)),"")</f>
        <v/>
      </c>
    </row>
    <row r="33" spans="1:17" ht="30" customHeight="1" x14ac:dyDescent="0.35">
      <c r="A33" s="898"/>
      <c r="B33" s="579"/>
      <c r="C33" s="1102"/>
      <c r="D33" s="993"/>
      <c r="E33" s="993"/>
      <c r="F33" s="1192"/>
      <c r="G33" s="1488" t="str">
        <f>IFERROR(VLOOKUP(B33,'Inhaler properties'!$L$3:$V$28,4,0),"")</f>
        <v/>
      </c>
      <c r="H33" s="165" t="str">
        <f>IFERROR(VLOOKUP(B33,'Inhaler properties'!$L$3:$V$28,2,0),"")</f>
        <v/>
      </c>
      <c r="I33" s="165" t="str">
        <f>IFERROR(VLOOKUP(B33,'Inhaler properties'!$L$3:$V$28,3,0),"")</f>
        <v/>
      </c>
      <c r="J33" s="183" t="str">
        <f t="shared" si="0"/>
        <v/>
      </c>
      <c r="K33" s="928" t="str">
        <f>IFERROR((VLOOKUP(B33,'Inhaler properties'!$L$3:$U$28,9,0)),"")</f>
        <v/>
      </c>
      <c r="L33" s="183" t="str">
        <f>IFERROR(((J33*VLOOKUP(I33,'Inhaler properties'!$A$21:$B$24,2,0))/1000),"")</f>
        <v/>
      </c>
      <c r="M33" s="998" t="str">
        <f t="shared" si="1"/>
        <v/>
      </c>
      <c r="N33" s="999" t="str">
        <f t="shared" si="2"/>
        <v/>
      </c>
      <c r="O33" s="1499" t="s">
        <v>192</v>
      </c>
      <c r="P33" s="217" t="str">
        <f>IFERROR((VLOOKUP(B33,'Inhaler properties'!$L$2:$Y$28,12,0)),"")</f>
        <v/>
      </c>
      <c r="Q33" s="195" t="str">
        <f>IFERROR((VLOOKUP(B33,'Inhaler properties'!$L$2:$Y$28,13,0)),"")</f>
        <v/>
      </c>
    </row>
    <row r="34" spans="1:17" ht="30" customHeight="1" x14ac:dyDescent="0.35">
      <c r="A34" s="898"/>
      <c r="B34" s="579"/>
      <c r="C34" s="1102"/>
      <c r="D34" s="993"/>
      <c r="E34" s="993"/>
      <c r="F34" s="1192"/>
      <c r="G34" s="1488" t="str">
        <f>IFERROR(VLOOKUP(B34,'Inhaler properties'!$L$3:$V$28,4,0),"")</f>
        <v/>
      </c>
      <c r="H34" s="165" t="str">
        <f>IFERROR(VLOOKUP(B34,'Inhaler properties'!$L$3:$V$28,2,0),"")</f>
        <v/>
      </c>
      <c r="I34" s="165" t="str">
        <f>IFERROR(VLOOKUP(B34,'Inhaler properties'!$L$3:$V$28,3,0),"")</f>
        <v/>
      </c>
      <c r="J34" s="183" t="str">
        <f t="shared" si="0"/>
        <v/>
      </c>
      <c r="K34" s="928" t="str">
        <f>IFERROR((VLOOKUP(B34,'Inhaler properties'!$L$3:$U$28,9,0)),"")</f>
        <v/>
      </c>
      <c r="L34" s="183" t="str">
        <f>IFERROR(((J34*VLOOKUP(I34,'Inhaler properties'!$A$21:$B$24,2,0))/1000),"")</f>
        <v/>
      </c>
      <c r="M34" s="998" t="str">
        <f t="shared" si="1"/>
        <v/>
      </c>
      <c r="N34" s="999" t="str">
        <f t="shared" si="2"/>
        <v/>
      </c>
      <c r="O34" s="1499" t="s">
        <v>192</v>
      </c>
      <c r="P34" s="217" t="str">
        <f>IFERROR((VLOOKUP(B34,'Inhaler properties'!$L$2:$Y$28,12,0)),"")</f>
        <v/>
      </c>
      <c r="Q34" s="195" t="str">
        <f>IFERROR((VLOOKUP(B34,'Inhaler properties'!$L$2:$Y$28,13,0)),"")</f>
        <v/>
      </c>
    </row>
    <row r="35" spans="1:17" ht="30" customHeight="1" x14ac:dyDescent="0.35">
      <c r="A35" s="898"/>
      <c r="B35" s="579"/>
      <c r="C35" s="1102"/>
      <c r="D35" s="993"/>
      <c r="E35" s="993"/>
      <c r="F35" s="1192"/>
      <c r="G35" s="1488" t="str">
        <f>IFERROR(VLOOKUP(B35,'Inhaler properties'!$L$3:$V$28,4,0),"")</f>
        <v/>
      </c>
      <c r="H35" s="165" t="str">
        <f>IFERROR(VLOOKUP(B35,'Inhaler properties'!$L$3:$V$28,2,0),"")</f>
        <v/>
      </c>
      <c r="I35" s="165" t="str">
        <f>IFERROR(VLOOKUP(B35,'Inhaler properties'!$L$3:$V$28,3,0),"")</f>
        <v/>
      </c>
      <c r="J35" s="183" t="str">
        <f t="shared" si="0"/>
        <v/>
      </c>
      <c r="K35" s="928" t="str">
        <f>IFERROR((VLOOKUP(B35,'Inhaler properties'!$L$3:$U$28,9,0)),"")</f>
        <v/>
      </c>
      <c r="L35" s="183" t="str">
        <f>IFERROR(((J35*VLOOKUP(I35,'Inhaler properties'!$A$21:$B$24,2,0))/1000),"")</f>
        <v/>
      </c>
      <c r="M35" s="998" t="str">
        <f t="shared" si="1"/>
        <v/>
      </c>
      <c r="N35" s="999" t="str">
        <f t="shared" si="2"/>
        <v/>
      </c>
      <c r="O35" s="1499" t="s">
        <v>192</v>
      </c>
      <c r="P35" s="217" t="str">
        <f>IFERROR((VLOOKUP(B35,'Inhaler properties'!$L$2:$Y$28,12,0)),"")</f>
        <v/>
      </c>
      <c r="Q35" s="195" t="str">
        <f>IFERROR((VLOOKUP(B35,'Inhaler properties'!$L$2:$Y$28,13,0)),"")</f>
        <v/>
      </c>
    </row>
    <row r="36" spans="1:17" ht="30" customHeight="1" x14ac:dyDescent="0.35">
      <c r="A36" s="898"/>
      <c r="B36" s="579"/>
      <c r="C36" s="1102"/>
      <c r="D36" s="993"/>
      <c r="E36" s="993"/>
      <c r="F36" s="1192"/>
      <c r="G36" s="1488" t="str">
        <f>IFERROR(VLOOKUP(B36,'Inhaler properties'!$L$3:$V$28,4,0),"")</f>
        <v/>
      </c>
      <c r="H36" s="165" t="str">
        <f>IFERROR(VLOOKUP(B36,'Inhaler properties'!$L$3:$V$28,2,0),"")</f>
        <v/>
      </c>
      <c r="I36" s="165" t="str">
        <f>IFERROR(VLOOKUP(B36,'Inhaler properties'!$L$3:$V$28,3,0),"")</f>
        <v/>
      </c>
      <c r="J36" s="183" t="str">
        <f t="shared" si="0"/>
        <v/>
      </c>
      <c r="K36" s="928" t="str">
        <f>IFERROR((VLOOKUP(B36,'Inhaler properties'!$L$3:$U$28,9,0)),"")</f>
        <v/>
      </c>
      <c r="L36" s="183" t="str">
        <f>IFERROR(((J36*VLOOKUP(I36,'Inhaler properties'!$A$21:$B$24,2,0))/1000),"")</f>
        <v/>
      </c>
      <c r="M36" s="998" t="str">
        <f t="shared" si="1"/>
        <v/>
      </c>
      <c r="N36" s="999" t="str">
        <f t="shared" si="2"/>
        <v/>
      </c>
      <c r="O36" s="1499" t="s">
        <v>192</v>
      </c>
      <c r="P36" s="217" t="str">
        <f>IFERROR((VLOOKUP(B36,'Inhaler properties'!$L$2:$Y$28,12,0)),"")</f>
        <v/>
      </c>
      <c r="Q36" s="195" t="str">
        <f>IFERROR((VLOOKUP(B36,'Inhaler properties'!$L$2:$Y$28,13,0)),"")</f>
        <v/>
      </c>
    </row>
    <row r="37" spans="1:17" ht="30" customHeight="1" x14ac:dyDescent="0.35">
      <c r="A37" s="898"/>
      <c r="B37" s="579"/>
      <c r="C37" s="1102"/>
      <c r="D37" s="993"/>
      <c r="E37" s="993"/>
      <c r="F37" s="1192"/>
      <c r="G37" s="1488" t="str">
        <f>IFERROR(VLOOKUP(B37,'Inhaler properties'!$L$3:$V$28,4,0),"")</f>
        <v/>
      </c>
      <c r="H37" s="165" t="str">
        <f>IFERROR(VLOOKUP(B37,'Inhaler properties'!$L$3:$V$28,2,0),"")</f>
        <v/>
      </c>
      <c r="I37" s="165" t="str">
        <f>IFERROR(VLOOKUP(B37,'Inhaler properties'!$L$3:$V$28,3,0),"")</f>
        <v/>
      </c>
      <c r="J37" s="183" t="str">
        <f t="shared" si="0"/>
        <v/>
      </c>
      <c r="K37" s="928" t="str">
        <f>IFERROR((VLOOKUP(B37,'Inhaler properties'!$L$3:$U$28,9,0)),"")</f>
        <v/>
      </c>
      <c r="L37" s="183" t="str">
        <f>IFERROR(((J37*VLOOKUP(I37,'Inhaler properties'!$A$21:$B$24,2,0))/1000),"")</f>
        <v/>
      </c>
      <c r="M37" s="998" t="str">
        <f t="shared" si="1"/>
        <v/>
      </c>
      <c r="N37" s="999" t="str">
        <f t="shared" si="2"/>
        <v/>
      </c>
      <c r="O37" s="1499" t="s">
        <v>192</v>
      </c>
      <c r="P37" s="217" t="str">
        <f>IFERROR((VLOOKUP(B37,'Inhaler properties'!$L$2:$Y$28,12,0)),"")</f>
        <v/>
      </c>
      <c r="Q37" s="195" t="str">
        <f>IFERROR((VLOOKUP(B37,'Inhaler properties'!$L$2:$Y$28,13,0)),"")</f>
        <v/>
      </c>
    </row>
    <row r="38" spans="1:17" ht="30" customHeight="1" x14ac:dyDescent="0.35">
      <c r="A38" s="898"/>
      <c r="B38" s="579"/>
      <c r="C38" s="1102"/>
      <c r="D38" s="993"/>
      <c r="E38" s="993"/>
      <c r="F38" s="1192"/>
      <c r="G38" s="1488" t="str">
        <f>IFERROR(VLOOKUP(B38,'Inhaler properties'!$L$3:$V$28,4,0),"")</f>
        <v/>
      </c>
      <c r="H38" s="165" t="str">
        <f>IFERROR(VLOOKUP(B38,'Inhaler properties'!$L$3:$V$28,2,0),"")</f>
        <v/>
      </c>
      <c r="I38" s="165" t="str">
        <f>IFERROR(VLOOKUP(B38,'Inhaler properties'!$L$3:$V$28,3,0),"")</f>
        <v/>
      </c>
      <c r="J38" s="183" t="str">
        <f t="shared" si="0"/>
        <v/>
      </c>
      <c r="K38" s="928" t="str">
        <f>IFERROR((VLOOKUP(B38,'Inhaler properties'!$L$3:$U$28,9,0)),"")</f>
        <v/>
      </c>
      <c r="L38" s="183" t="str">
        <f>IFERROR(((J38*VLOOKUP(I38,'Inhaler properties'!$A$21:$B$24,2,0))/1000),"")</f>
        <v/>
      </c>
      <c r="M38" s="998" t="str">
        <f t="shared" si="1"/>
        <v/>
      </c>
      <c r="N38" s="999" t="str">
        <f t="shared" si="2"/>
        <v/>
      </c>
      <c r="O38" s="1499" t="s">
        <v>192</v>
      </c>
      <c r="P38" s="217" t="str">
        <f>IFERROR((VLOOKUP(B38,'Inhaler properties'!$L$2:$Y$28,12,0)),"")</f>
        <v/>
      </c>
      <c r="Q38" s="195" t="str">
        <f>IFERROR((VLOOKUP(B38,'Inhaler properties'!$L$2:$Y$28,13,0)),"")</f>
        <v/>
      </c>
    </row>
    <row r="39" spans="1:17" ht="30" customHeight="1" x14ac:dyDescent="0.35">
      <c r="A39" s="898"/>
      <c r="B39" s="579"/>
      <c r="C39" s="1102"/>
      <c r="D39" s="993"/>
      <c r="E39" s="993"/>
      <c r="F39" s="1192"/>
      <c r="G39" s="1488" t="str">
        <f>IFERROR(VLOOKUP(B39,'Inhaler properties'!$L$3:$V$28,4,0),"")</f>
        <v/>
      </c>
      <c r="H39" s="165" t="str">
        <f>IFERROR(VLOOKUP(B39,'Inhaler properties'!$L$3:$V$28,2,0),"")</f>
        <v/>
      </c>
      <c r="I39" s="165" t="str">
        <f>IFERROR(VLOOKUP(B39,'Inhaler properties'!$L$3:$V$28,3,0),"")</f>
        <v/>
      </c>
      <c r="J39" s="183" t="str">
        <f t="shared" si="0"/>
        <v/>
      </c>
      <c r="K39" s="928" t="str">
        <f>IFERROR((VLOOKUP(B39,'Inhaler properties'!$L$3:$U$28,9,0)),"")</f>
        <v/>
      </c>
      <c r="L39" s="183" t="str">
        <f>IFERROR(((J39*VLOOKUP(I39,'Inhaler properties'!$A$21:$B$24,2,0))/1000),"")</f>
        <v/>
      </c>
      <c r="M39" s="998" t="str">
        <f t="shared" si="1"/>
        <v/>
      </c>
      <c r="N39" s="999" t="str">
        <f t="shared" si="2"/>
        <v/>
      </c>
      <c r="O39" s="1499" t="s">
        <v>192</v>
      </c>
      <c r="P39" s="217" t="str">
        <f>IFERROR((VLOOKUP(B39,'Inhaler properties'!$L$2:$Y$28,12,0)),"")</f>
        <v/>
      </c>
      <c r="Q39" s="195" t="str">
        <f>IFERROR((VLOOKUP(B39,'Inhaler properties'!$L$2:$Y$28,13,0)),"")</f>
        <v/>
      </c>
    </row>
    <row r="40" spans="1:17" ht="30" customHeight="1" x14ac:dyDescent="0.35">
      <c r="A40" s="898"/>
      <c r="B40" s="579"/>
      <c r="C40" s="1102"/>
      <c r="D40" s="993"/>
      <c r="E40" s="993"/>
      <c r="F40" s="1192"/>
      <c r="G40" s="1488" t="str">
        <f>IFERROR(VLOOKUP(B40,'Inhaler properties'!$L$3:$V$28,4,0),"")</f>
        <v/>
      </c>
      <c r="H40" s="165" t="str">
        <f>IFERROR(VLOOKUP(B40,'Inhaler properties'!$L$3:$V$28,2,0),"")</f>
        <v/>
      </c>
      <c r="I40" s="165" t="str">
        <f>IFERROR(VLOOKUP(B40,'Inhaler properties'!$L$3:$V$28,3,0),"")</f>
        <v/>
      </c>
      <c r="J40" s="183" t="str">
        <f t="shared" si="0"/>
        <v/>
      </c>
      <c r="K40" s="928" t="str">
        <f>IFERROR((VLOOKUP(B40,'Inhaler properties'!$L$3:$U$28,9,0)),"")</f>
        <v/>
      </c>
      <c r="L40" s="183" t="str">
        <f>IFERROR(((J40*VLOOKUP(I40,'Inhaler properties'!$A$21:$B$24,2,0))/1000),"")</f>
        <v/>
      </c>
      <c r="M40" s="998" t="str">
        <f t="shared" si="1"/>
        <v/>
      </c>
      <c r="N40" s="999" t="str">
        <f t="shared" si="2"/>
        <v/>
      </c>
      <c r="O40" s="1499" t="s">
        <v>192</v>
      </c>
      <c r="P40" s="217" t="str">
        <f>IFERROR((VLOOKUP(B40,'Inhaler properties'!$L$2:$Y$28,12,0)),"")</f>
        <v/>
      </c>
      <c r="Q40" s="195" t="str">
        <f>IFERROR((VLOOKUP(B40,'Inhaler properties'!$L$2:$Y$28,13,0)),"")</f>
        <v/>
      </c>
    </row>
    <row r="41" spans="1:17" ht="30" customHeight="1" x14ac:dyDescent="0.35">
      <c r="A41" s="898"/>
      <c r="B41" s="579"/>
      <c r="C41" s="1102"/>
      <c r="D41" s="993"/>
      <c r="E41" s="993"/>
      <c r="F41" s="1192"/>
      <c r="G41" s="1488" t="str">
        <f>IFERROR(VLOOKUP(B41,'Inhaler properties'!$L$3:$V$28,4,0),"")</f>
        <v/>
      </c>
      <c r="H41" s="165" t="str">
        <f>IFERROR(VLOOKUP(B41,'Inhaler properties'!$L$3:$V$28,2,0),"")</f>
        <v/>
      </c>
      <c r="I41" s="165" t="str">
        <f>IFERROR(VLOOKUP(B41,'Inhaler properties'!$L$3:$V$28,3,0),"")</f>
        <v/>
      </c>
      <c r="J41" s="183" t="str">
        <f t="shared" si="0"/>
        <v/>
      </c>
      <c r="K41" s="928" t="str">
        <f>IFERROR((VLOOKUP(B41,'Inhaler properties'!$L$3:$U$28,9,0)),"")</f>
        <v/>
      </c>
      <c r="L41" s="183" t="str">
        <f>IFERROR(((J41*VLOOKUP(I41,'Inhaler properties'!$A$21:$B$24,2,0))/1000),"")</f>
        <v/>
      </c>
      <c r="M41" s="998" t="str">
        <f t="shared" si="1"/>
        <v/>
      </c>
      <c r="N41" s="999" t="str">
        <f t="shared" si="2"/>
        <v/>
      </c>
      <c r="O41" s="1499" t="s">
        <v>192</v>
      </c>
      <c r="P41" s="217" t="str">
        <f>IFERROR((VLOOKUP(B41,'Inhaler properties'!$L$2:$Y$28,12,0)),"")</f>
        <v/>
      </c>
      <c r="Q41" s="195" t="str">
        <f>IFERROR((VLOOKUP(B41,'Inhaler properties'!$L$2:$Y$28,13,0)),"")</f>
        <v/>
      </c>
    </row>
    <row r="42" spans="1:17" ht="30" customHeight="1" x14ac:dyDescent="0.35">
      <c r="A42" s="898"/>
      <c r="B42" s="579"/>
      <c r="C42" s="1102"/>
      <c r="D42" s="993"/>
      <c r="E42" s="993"/>
      <c r="F42" s="1192"/>
      <c r="G42" s="1488" t="str">
        <f>IFERROR(VLOOKUP(B42,'Inhaler properties'!$L$3:$V$28,4,0),"")</f>
        <v/>
      </c>
      <c r="H42" s="165" t="str">
        <f>IFERROR(VLOOKUP(B42,'Inhaler properties'!$L$3:$V$28,2,0),"")</f>
        <v/>
      </c>
      <c r="I42" s="165" t="str">
        <f>IFERROR(VLOOKUP(B42,'Inhaler properties'!$L$3:$V$28,3,0),"")</f>
        <v/>
      </c>
      <c r="J42" s="183" t="str">
        <f t="shared" si="0"/>
        <v/>
      </c>
      <c r="K42" s="928" t="str">
        <f>IFERROR((VLOOKUP(B42,'Inhaler properties'!$L$3:$U$28,9,0)),"")</f>
        <v/>
      </c>
      <c r="L42" s="183" t="str">
        <f>IFERROR(((J42*VLOOKUP(I42,'Inhaler properties'!$A$21:$B$24,2,0))/1000),"")</f>
        <v/>
      </c>
      <c r="M42" s="998" t="str">
        <f t="shared" si="1"/>
        <v/>
      </c>
      <c r="N42" s="999" t="str">
        <f t="shared" si="2"/>
        <v/>
      </c>
      <c r="O42" s="1499" t="s">
        <v>192</v>
      </c>
      <c r="P42" s="217" t="str">
        <f>IFERROR((VLOOKUP(B42,'Inhaler properties'!$L$2:$Y$28,12,0)),"")</f>
        <v/>
      </c>
      <c r="Q42" s="195" t="str">
        <f>IFERROR((VLOOKUP(B42,'Inhaler properties'!$L$2:$Y$28,13,0)),"")</f>
        <v/>
      </c>
    </row>
    <row r="43" spans="1:17" ht="30" customHeight="1" x14ac:dyDescent="0.35">
      <c r="A43" s="898"/>
      <c r="B43" s="579"/>
      <c r="C43" s="1102"/>
      <c r="D43" s="993"/>
      <c r="E43" s="993"/>
      <c r="F43" s="1192"/>
      <c r="G43" s="1488" t="str">
        <f>IFERROR(VLOOKUP(B43,'Inhaler properties'!$L$3:$V$28,4,0),"")</f>
        <v/>
      </c>
      <c r="H43" s="165" t="str">
        <f>IFERROR(VLOOKUP(B43,'Inhaler properties'!$L$3:$V$28,2,0),"")</f>
        <v/>
      </c>
      <c r="I43" s="165" t="str">
        <f>IFERROR(VLOOKUP(B43,'Inhaler properties'!$L$3:$V$28,3,0),"")</f>
        <v/>
      </c>
      <c r="J43" s="183" t="str">
        <f t="shared" si="0"/>
        <v/>
      </c>
      <c r="K43" s="928" t="str">
        <f>IFERROR((VLOOKUP(B43,'Inhaler properties'!$L$3:$U$28,9,0)),"")</f>
        <v/>
      </c>
      <c r="L43" s="183" t="str">
        <f>IFERROR(((J43*VLOOKUP(I43,'Inhaler properties'!$A$21:$B$24,2,0))/1000),"")</f>
        <v/>
      </c>
      <c r="M43" s="998" t="str">
        <f t="shared" si="1"/>
        <v/>
      </c>
      <c r="N43" s="999" t="str">
        <f t="shared" si="2"/>
        <v/>
      </c>
      <c r="O43" s="1499" t="s">
        <v>192</v>
      </c>
      <c r="P43" s="217" t="str">
        <f>IFERROR((VLOOKUP(B43,'Inhaler properties'!$L$2:$Y$28,12,0)),"")</f>
        <v/>
      </c>
      <c r="Q43" s="195" t="str">
        <f>IFERROR((VLOOKUP(B43,'Inhaler properties'!$L$2:$Y$28,13,0)),"")</f>
        <v/>
      </c>
    </row>
    <row r="44" spans="1:17" ht="30" customHeight="1" x14ac:dyDescent="0.35">
      <c r="A44" s="898"/>
      <c r="B44" s="579"/>
      <c r="C44" s="1102"/>
      <c r="D44" s="993"/>
      <c r="E44" s="993"/>
      <c r="F44" s="1192"/>
      <c r="G44" s="1488" t="str">
        <f>IFERROR(VLOOKUP(B44,'Inhaler properties'!$L$3:$V$28,4,0),"")</f>
        <v/>
      </c>
      <c r="H44" s="165" t="str">
        <f>IFERROR(VLOOKUP(B44,'Inhaler properties'!$L$3:$V$28,2,0),"")</f>
        <v/>
      </c>
      <c r="I44" s="165" t="str">
        <f>IFERROR(VLOOKUP(B44,'Inhaler properties'!$L$3:$V$28,3,0),"")</f>
        <v/>
      </c>
      <c r="J44" s="183" t="str">
        <f t="shared" si="0"/>
        <v/>
      </c>
      <c r="K44" s="928" t="str">
        <f>IFERROR((VLOOKUP(B44,'Inhaler properties'!$L$3:$U$28,9,0)),"")</f>
        <v/>
      </c>
      <c r="L44" s="183" t="str">
        <f>IFERROR(((J44*VLOOKUP(I44,'Inhaler properties'!$A$21:$B$24,2,0))/1000),"")</f>
        <v/>
      </c>
      <c r="M44" s="998" t="str">
        <f t="shared" si="1"/>
        <v/>
      </c>
      <c r="N44" s="999" t="str">
        <f t="shared" si="2"/>
        <v/>
      </c>
      <c r="O44" s="1499" t="s">
        <v>192</v>
      </c>
      <c r="P44" s="217" t="str">
        <f>IFERROR((VLOOKUP(B44,'Inhaler properties'!$L$2:$Y$28,12,0)),"")</f>
        <v/>
      </c>
      <c r="Q44" s="195" t="str">
        <f>IFERROR((VLOOKUP(B44,'Inhaler properties'!$L$2:$Y$28,13,0)),"")</f>
        <v/>
      </c>
    </row>
    <row r="45" spans="1:17" ht="30" customHeight="1" x14ac:dyDescent="0.35">
      <c r="A45" s="898"/>
      <c r="B45" s="579"/>
      <c r="C45" s="1102"/>
      <c r="D45" s="993"/>
      <c r="E45" s="993"/>
      <c r="F45" s="1192"/>
      <c r="G45" s="1488" t="str">
        <f>IFERROR(VLOOKUP(B45,'Inhaler properties'!$L$3:$V$28,4,0),"")</f>
        <v/>
      </c>
      <c r="H45" s="165" t="str">
        <f>IFERROR(VLOOKUP(B45,'Inhaler properties'!$L$3:$V$28,2,0),"")</f>
        <v/>
      </c>
      <c r="I45" s="165" t="str">
        <f>IFERROR(VLOOKUP(B45,'Inhaler properties'!$L$3:$V$28,3,0),"")</f>
        <v/>
      </c>
      <c r="J45" s="183" t="str">
        <f t="shared" ref="J45:J76" si="3">IFERROR((K45*C45),"")</f>
        <v/>
      </c>
      <c r="K45" s="928" t="str">
        <f>IFERROR((VLOOKUP(B45,'Inhaler properties'!$L$3:$U$28,9,0)),"")</f>
        <v/>
      </c>
      <c r="L45" s="183" t="str">
        <f>IFERROR(((J45*VLOOKUP(I45,'Inhaler properties'!$A$21:$B$24,2,0))/1000),"")</f>
        <v/>
      </c>
      <c r="M45" s="998" t="str">
        <f t="shared" ref="M45:M76" si="4">IFERROR((K45*D45*C45),"")</f>
        <v/>
      </c>
      <c r="N45" s="999" t="str">
        <f t="shared" ref="N45:N76" si="5">IFERROR((K45*E45*C45),"")</f>
        <v/>
      </c>
      <c r="O45" s="1499" t="s">
        <v>192</v>
      </c>
      <c r="P45" s="217" t="str">
        <f>IFERROR((VLOOKUP(B45,'Inhaler properties'!$L$2:$Y$28,12,0)),"")</f>
        <v/>
      </c>
      <c r="Q45" s="195" t="str">
        <f>IFERROR((VLOOKUP(B45,'Inhaler properties'!$L$2:$Y$28,13,0)),"")</f>
        <v/>
      </c>
    </row>
    <row r="46" spans="1:17" ht="30" customHeight="1" x14ac:dyDescent="0.35">
      <c r="A46" s="898"/>
      <c r="B46" s="579"/>
      <c r="C46" s="1102"/>
      <c r="D46" s="993"/>
      <c r="E46" s="993"/>
      <c r="F46" s="1192"/>
      <c r="G46" s="1488" t="str">
        <f>IFERROR(VLOOKUP(B46,'Inhaler properties'!$L$3:$V$28,4,0),"")</f>
        <v/>
      </c>
      <c r="H46" s="165" t="str">
        <f>IFERROR(VLOOKUP(B46,'Inhaler properties'!$L$3:$V$28,2,0),"")</f>
        <v/>
      </c>
      <c r="I46" s="165" t="str">
        <f>IFERROR(VLOOKUP(B46,'Inhaler properties'!$L$3:$V$28,3,0),"")</f>
        <v/>
      </c>
      <c r="J46" s="183" t="str">
        <f t="shared" si="3"/>
        <v/>
      </c>
      <c r="K46" s="928" t="str">
        <f>IFERROR((VLOOKUP(B46,'Inhaler properties'!$L$3:$U$28,9,0)),"")</f>
        <v/>
      </c>
      <c r="L46" s="183" t="str">
        <f>IFERROR(((J46*VLOOKUP(I46,'Inhaler properties'!$A$21:$B$24,2,0))/1000),"")</f>
        <v/>
      </c>
      <c r="M46" s="998" t="str">
        <f t="shared" si="4"/>
        <v/>
      </c>
      <c r="N46" s="999" t="str">
        <f t="shared" si="5"/>
        <v/>
      </c>
      <c r="O46" s="1499" t="s">
        <v>192</v>
      </c>
      <c r="P46" s="217" t="str">
        <f>IFERROR((VLOOKUP(B46,'Inhaler properties'!$L$2:$Y$28,12,0)),"")</f>
        <v/>
      </c>
      <c r="Q46" s="195" t="str">
        <f>IFERROR((VLOOKUP(B46,'Inhaler properties'!$L$2:$Y$28,13,0)),"")</f>
        <v/>
      </c>
    </row>
    <row r="47" spans="1:17" ht="30" customHeight="1" x14ac:dyDescent="0.35">
      <c r="A47" s="898"/>
      <c r="B47" s="579"/>
      <c r="C47" s="1102"/>
      <c r="D47" s="993"/>
      <c r="E47" s="993"/>
      <c r="F47" s="1192"/>
      <c r="G47" s="1488" t="str">
        <f>IFERROR(VLOOKUP(B47,'Inhaler properties'!$L$3:$V$28,4,0),"")</f>
        <v/>
      </c>
      <c r="H47" s="165" t="str">
        <f>IFERROR(VLOOKUP(B47,'Inhaler properties'!$L$3:$V$28,2,0),"")</f>
        <v/>
      </c>
      <c r="I47" s="165" t="str">
        <f>IFERROR(VLOOKUP(B47,'Inhaler properties'!$L$3:$V$28,3,0),"")</f>
        <v/>
      </c>
      <c r="J47" s="183" t="str">
        <f t="shared" si="3"/>
        <v/>
      </c>
      <c r="K47" s="928" t="str">
        <f>IFERROR((VLOOKUP(B47,'Inhaler properties'!$L$3:$U$28,9,0)),"")</f>
        <v/>
      </c>
      <c r="L47" s="183" t="str">
        <f>IFERROR(((J47*VLOOKUP(I47,'Inhaler properties'!$A$21:$B$24,2,0))/1000),"")</f>
        <v/>
      </c>
      <c r="M47" s="998" t="str">
        <f t="shared" si="4"/>
        <v/>
      </c>
      <c r="N47" s="999" t="str">
        <f t="shared" si="5"/>
        <v/>
      </c>
      <c r="O47" s="1499" t="s">
        <v>192</v>
      </c>
      <c r="P47" s="217" t="str">
        <f>IFERROR((VLOOKUP(B47,'Inhaler properties'!$L$2:$Y$28,12,0)),"")</f>
        <v/>
      </c>
      <c r="Q47" s="195" t="str">
        <f>IFERROR((VLOOKUP(B47,'Inhaler properties'!$L$2:$Y$28,13,0)),"")</f>
        <v/>
      </c>
    </row>
    <row r="48" spans="1:17" ht="30" customHeight="1" x14ac:dyDescent="0.35">
      <c r="A48" s="898"/>
      <c r="B48" s="579"/>
      <c r="C48" s="1102"/>
      <c r="D48" s="993"/>
      <c r="E48" s="993"/>
      <c r="F48" s="1192"/>
      <c r="G48" s="1488" t="str">
        <f>IFERROR(VLOOKUP(B48,'Inhaler properties'!$L$3:$V$28,4,0),"")</f>
        <v/>
      </c>
      <c r="H48" s="165" t="str">
        <f>IFERROR(VLOOKUP(B48,'Inhaler properties'!$L$3:$V$28,2,0),"")</f>
        <v/>
      </c>
      <c r="I48" s="165" t="str">
        <f>IFERROR(VLOOKUP(B48,'Inhaler properties'!$L$3:$V$28,3,0),"")</f>
        <v/>
      </c>
      <c r="J48" s="183" t="str">
        <f t="shared" si="3"/>
        <v/>
      </c>
      <c r="K48" s="928" t="str">
        <f>IFERROR((VLOOKUP(B48,'Inhaler properties'!$L$3:$U$28,9,0)),"")</f>
        <v/>
      </c>
      <c r="L48" s="183" t="str">
        <f>IFERROR(((J48*VLOOKUP(I48,'Inhaler properties'!$A$21:$B$24,2,0))/1000),"")</f>
        <v/>
      </c>
      <c r="M48" s="998" t="str">
        <f t="shared" si="4"/>
        <v/>
      </c>
      <c r="N48" s="999" t="str">
        <f t="shared" si="5"/>
        <v/>
      </c>
      <c r="O48" s="1499" t="s">
        <v>192</v>
      </c>
      <c r="P48" s="217" t="str">
        <f>IFERROR((VLOOKUP(B48,'Inhaler properties'!$L$2:$Y$28,12,0)),"")</f>
        <v/>
      </c>
      <c r="Q48" s="195" t="str">
        <f>IFERROR((VLOOKUP(B48,'Inhaler properties'!$L$2:$Y$28,13,0)),"")</f>
        <v/>
      </c>
    </row>
    <row r="49" spans="1:17" ht="30" customHeight="1" x14ac:dyDescent="0.35">
      <c r="A49" s="898"/>
      <c r="B49" s="579"/>
      <c r="C49" s="1102"/>
      <c r="D49" s="993"/>
      <c r="E49" s="993"/>
      <c r="F49" s="1192"/>
      <c r="G49" s="1488" t="str">
        <f>IFERROR(VLOOKUP(B49,'Inhaler properties'!$L$3:$V$28,4,0),"")</f>
        <v/>
      </c>
      <c r="H49" s="165" t="str">
        <f>IFERROR(VLOOKUP(B49,'Inhaler properties'!$L$3:$V$28,2,0),"")</f>
        <v/>
      </c>
      <c r="I49" s="165" t="str">
        <f>IFERROR(VLOOKUP(B49,'Inhaler properties'!$L$3:$V$28,3,0),"")</f>
        <v/>
      </c>
      <c r="J49" s="183" t="str">
        <f t="shared" si="3"/>
        <v/>
      </c>
      <c r="K49" s="928" t="str">
        <f>IFERROR((VLOOKUP(B49,'Inhaler properties'!$L$3:$U$28,9,0)),"")</f>
        <v/>
      </c>
      <c r="L49" s="183" t="str">
        <f>IFERROR(((J49*VLOOKUP(I49,'Inhaler properties'!$A$21:$B$24,2,0))/1000),"")</f>
        <v/>
      </c>
      <c r="M49" s="998" t="str">
        <f t="shared" si="4"/>
        <v/>
      </c>
      <c r="N49" s="999" t="str">
        <f t="shared" si="5"/>
        <v/>
      </c>
      <c r="O49" s="1499" t="s">
        <v>192</v>
      </c>
      <c r="P49" s="217" t="str">
        <f>IFERROR((VLOOKUP(B49,'Inhaler properties'!$L$2:$Y$28,12,0)),"")</f>
        <v/>
      </c>
      <c r="Q49" s="195" t="str">
        <f>IFERROR((VLOOKUP(B49,'Inhaler properties'!$L$2:$Y$28,13,0)),"")</f>
        <v/>
      </c>
    </row>
    <row r="50" spans="1:17" ht="30" customHeight="1" x14ac:dyDescent="0.35">
      <c r="A50" s="898"/>
      <c r="B50" s="579"/>
      <c r="C50" s="1102"/>
      <c r="D50" s="993"/>
      <c r="E50" s="993"/>
      <c r="F50" s="1192"/>
      <c r="G50" s="1488" t="str">
        <f>IFERROR(VLOOKUP(B50,'Inhaler properties'!$L$3:$V$28,4,0),"")</f>
        <v/>
      </c>
      <c r="H50" s="165" t="str">
        <f>IFERROR(VLOOKUP(B50,'Inhaler properties'!$L$3:$V$28,2,0),"")</f>
        <v/>
      </c>
      <c r="I50" s="165" t="str">
        <f>IFERROR(VLOOKUP(B50,'Inhaler properties'!$L$3:$V$28,3,0),"")</f>
        <v/>
      </c>
      <c r="J50" s="183" t="str">
        <f t="shared" si="3"/>
        <v/>
      </c>
      <c r="K50" s="928" t="str">
        <f>IFERROR((VLOOKUP(B50,'Inhaler properties'!$L$3:$U$28,9,0)),"")</f>
        <v/>
      </c>
      <c r="L50" s="183" t="str">
        <f>IFERROR(((J50*VLOOKUP(I50,'Inhaler properties'!$A$21:$B$24,2,0))/1000),"")</f>
        <v/>
      </c>
      <c r="M50" s="998" t="str">
        <f t="shared" si="4"/>
        <v/>
      </c>
      <c r="N50" s="999" t="str">
        <f t="shared" si="5"/>
        <v/>
      </c>
      <c r="O50" s="1499" t="s">
        <v>192</v>
      </c>
      <c r="P50" s="217" t="str">
        <f>IFERROR((VLOOKUP(B50,'Inhaler properties'!$L$2:$Y$28,12,0)),"")</f>
        <v/>
      </c>
      <c r="Q50" s="195" t="str">
        <f>IFERROR((VLOOKUP(B50,'Inhaler properties'!$L$2:$Y$28,13,0)),"")</f>
        <v/>
      </c>
    </row>
    <row r="51" spans="1:17" ht="30" customHeight="1" x14ac:dyDescent="0.35">
      <c r="A51" s="898"/>
      <c r="B51" s="579"/>
      <c r="C51" s="1102"/>
      <c r="D51" s="993"/>
      <c r="E51" s="993"/>
      <c r="F51" s="1192"/>
      <c r="G51" s="1488" t="str">
        <f>IFERROR(VLOOKUP(B51,'Inhaler properties'!$L$3:$V$28,4,0),"")</f>
        <v/>
      </c>
      <c r="H51" s="165" t="str">
        <f>IFERROR(VLOOKUP(B51,'Inhaler properties'!$L$3:$V$28,2,0),"")</f>
        <v/>
      </c>
      <c r="I51" s="165" t="str">
        <f>IFERROR(VLOOKUP(B51,'Inhaler properties'!$L$3:$V$28,3,0),"")</f>
        <v/>
      </c>
      <c r="J51" s="183" t="str">
        <f t="shared" si="3"/>
        <v/>
      </c>
      <c r="K51" s="928" t="str">
        <f>IFERROR((VLOOKUP(B51,'Inhaler properties'!$L$3:$U$28,9,0)),"")</f>
        <v/>
      </c>
      <c r="L51" s="183" t="str">
        <f>IFERROR(((J51*VLOOKUP(I51,'Inhaler properties'!$A$21:$B$24,2,0))/1000),"")</f>
        <v/>
      </c>
      <c r="M51" s="998" t="str">
        <f t="shared" si="4"/>
        <v/>
      </c>
      <c r="N51" s="999" t="str">
        <f t="shared" si="5"/>
        <v/>
      </c>
      <c r="O51" s="1499" t="s">
        <v>192</v>
      </c>
      <c r="P51" s="217" t="str">
        <f>IFERROR((VLOOKUP(B51,'Inhaler properties'!$L$2:$Y$28,12,0)),"")</f>
        <v/>
      </c>
      <c r="Q51" s="195" t="str">
        <f>IFERROR((VLOOKUP(B51,'Inhaler properties'!$L$2:$Y$28,13,0)),"")</f>
        <v/>
      </c>
    </row>
    <row r="52" spans="1:17" ht="30" customHeight="1" x14ac:dyDescent="0.35">
      <c r="A52" s="898"/>
      <c r="B52" s="579"/>
      <c r="C52" s="1102"/>
      <c r="D52" s="993"/>
      <c r="E52" s="993"/>
      <c r="F52" s="1192"/>
      <c r="G52" s="1488" t="str">
        <f>IFERROR(VLOOKUP(B52,'Inhaler properties'!$L$3:$V$28,4,0),"")</f>
        <v/>
      </c>
      <c r="H52" s="165" t="str">
        <f>IFERROR(VLOOKUP(B52,'Inhaler properties'!$L$3:$V$28,2,0),"")</f>
        <v/>
      </c>
      <c r="I52" s="165" t="str">
        <f>IFERROR(VLOOKUP(B52,'Inhaler properties'!$L$3:$V$28,3,0),"")</f>
        <v/>
      </c>
      <c r="J52" s="183" t="str">
        <f t="shared" si="3"/>
        <v/>
      </c>
      <c r="K52" s="928" t="str">
        <f>IFERROR((VLOOKUP(B52,'Inhaler properties'!$L$3:$U$28,9,0)),"")</f>
        <v/>
      </c>
      <c r="L52" s="183" t="str">
        <f>IFERROR(((J52*VLOOKUP(I52,'Inhaler properties'!$A$21:$B$24,2,0))/1000),"")</f>
        <v/>
      </c>
      <c r="M52" s="998" t="str">
        <f t="shared" si="4"/>
        <v/>
      </c>
      <c r="N52" s="999" t="str">
        <f t="shared" si="5"/>
        <v/>
      </c>
      <c r="O52" s="1499" t="s">
        <v>192</v>
      </c>
      <c r="P52" s="217" t="str">
        <f>IFERROR((VLOOKUP(B52,'Inhaler properties'!$L$2:$Y$28,12,0)),"")</f>
        <v/>
      </c>
      <c r="Q52" s="195" t="str">
        <f>IFERROR((VLOOKUP(B52,'Inhaler properties'!$L$2:$Y$28,13,0)),"")</f>
        <v/>
      </c>
    </row>
    <row r="53" spans="1:17" ht="30" customHeight="1" x14ac:dyDescent="0.35">
      <c r="A53" s="898"/>
      <c r="B53" s="579"/>
      <c r="C53" s="1102"/>
      <c r="D53" s="993"/>
      <c r="E53" s="993"/>
      <c r="F53" s="1192"/>
      <c r="G53" s="1488" t="str">
        <f>IFERROR(VLOOKUP(B53,'Inhaler properties'!$L$3:$V$28,4,0),"")</f>
        <v/>
      </c>
      <c r="H53" s="165" t="str">
        <f>IFERROR(VLOOKUP(B53,'Inhaler properties'!$L$3:$V$28,2,0),"")</f>
        <v/>
      </c>
      <c r="I53" s="165" t="str">
        <f>IFERROR(VLOOKUP(B53,'Inhaler properties'!$L$3:$V$28,3,0),"")</f>
        <v/>
      </c>
      <c r="J53" s="183" t="str">
        <f t="shared" si="3"/>
        <v/>
      </c>
      <c r="K53" s="928" t="str">
        <f>IFERROR((VLOOKUP(B53,'Inhaler properties'!$L$3:$U$28,9,0)),"")</f>
        <v/>
      </c>
      <c r="L53" s="183" t="str">
        <f>IFERROR(((J53*VLOOKUP(I53,'Inhaler properties'!$A$21:$B$24,2,0))/1000),"")</f>
        <v/>
      </c>
      <c r="M53" s="998" t="str">
        <f t="shared" si="4"/>
        <v/>
      </c>
      <c r="N53" s="999" t="str">
        <f t="shared" si="5"/>
        <v/>
      </c>
      <c r="O53" s="1499" t="s">
        <v>192</v>
      </c>
      <c r="P53" s="217" t="str">
        <f>IFERROR((VLOOKUP(B53,'Inhaler properties'!$L$2:$Y$28,12,0)),"")</f>
        <v/>
      </c>
      <c r="Q53" s="195" t="str">
        <f>IFERROR((VLOOKUP(B53,'Inhaler properties'!$L$2:$Y$28,13,0)),"")</f>
        <v/>
      </c>
    </row>
    <row r="54" spans="1:17" ht="30" customHeight="1" x14ac:dyDescent="0.35">
      <c r="A54" s="898"/>
      <c r="B54" s="579"/>
      <c r="C54" s="1102"/>
      <c r="D54" s="993"/>
      <c r="E54" s="993"/>
      <c r="F54" s="1192"/>
      <c r="G54" s="1488" t="str">
        <f>IFERROR(VLOOKUP(B54,'Inhaler properties'!$L$3:$V$28,4,0),"")</f>
        <v/>
      </c>
      <c r="H54" s="165" t="str">
        <f>IFERROR(VLOOKUP(B54,'Inhaler properties'!$L$3:$V$28,2,0),"")</f>
        <v/>
      </c>
      <c r="I54" s="165" t="str">
        <f>IFERROR(VLOOKUP(B54,'Inhaler properties'!$L$3:$V$28,3,0),"")</f>
        <v/>
      </c>
      <c r="J54" s="183" t="str">
        <f t="shared" si="3"/>
        <v/>
      </c>
      <c r="K54" s="928" t="str">
        <f>IFERROR((VLOOKUP(B54,'Inhaler properties'!$L$3:$U$28,9,0)),"")</f>
        <v/>
      </c>
      <c r="L54" s="183" t="str">
        <f>IFERROR(((J54*VLOOKUP(I54,'Inhaler properties'!$A$21:$B$24,2,0))/1000),"")</f>
        <v/>
      </c>
      <c r="M54" s="998" t="str">
        <f t="shared" si="4"/>
        <v/>
      </c>
      <c r="N54" s="999" t="str">
        <f t="shared" si="5"/>
        <v/>
      </c>
      <c r="O54" s="1499" t="s">
        <v>192</v>
      </c>
      <c r="P54" s="217" t="str">
        <f>IFERROR((VLOOKUP(B54,'Inhaler properties'!$L$2:$Y$28,12,0)),"")</f>
        <v/>
      </c>
      <c r="Q54" s="195" t="str">
        <f>IFERROR((VLOOKUP(B54,'Inhaler properties'!$L$2:$Y$28,13,0)),"")</f>
        <v/>
      </c>
    </row>
    <row r="55" spans="1:17" ht="30" customHeight="1" x14ac:dyDescent="0.35">
      <c r="A55" s="898"/>
      <c r="B55" s="579"/>
      <c r="C55" s="1102"/>
      <c r="D55" s="993"/>
      <c r="E55" s="993"/>
      <c r="F55" s="1192"/>
      <c r="G55" s="1488" t="str">
        <f>IFERROR(VLOOKUP(B55,'Inhaler properties'!$L$3:$V$28,4,0),"")</f>
        <v/>
      </c>
      <c r="H55" s="165" t="str">
        <f>IFERROR(VLOOKUP(B55,'Inhaler properties'!$L$3:$V$28,2,0),"")</f>
        <v/>
      </c>
      <c r="I55" s="165" t="str">
        <f>IFERROR(VLOOKUP(B55,'Inhaler properties'!$L$3:$V$28,3,0),"")</f>
        <v/>
      </c>
      <c r="J55" s="183" t="str">
        <f t="shared" si="3"/>
        <v/>
      </c>
      <c r="K55" s="928" t="str">
        <f>IFERROR((VLOOKUP(B55,'Inhaler properties'!$L$3:$U$28,9,0)),"")</f>
        <v/>
      </c>
      <c r="L55" s="183" t="str">
        <f>IFERROR(((J55*VLOOKUP(I55,'Inhaler properties'!$A$21:$B$24,2,0))/1000),"")</f>
        <v/>
      </c>
      <c r="M55" s="998" t="str">
        <f t="shared" si="4"/>
        <v/>
      </c>
      <c r="N55" s="999" t="str">
        <f t="shared" si="5"/>
        <v/>
      </c>
      <c r="O55" s="1499" t="s">
        <v>192</v>
      </c>
      <c r="P55" s="217" t="str">
        <f>IFERROR((VLOOKUP(B55,'Inhaler properties'!$L$2:$Y$28,12,0)),"")</f>
        <v/>
      </c>
      <c r="Q55" s="195" t="str">
        <f>IFERROR((VLOOKUP(B55,'Inhaler properties'!$L$2:$Y$28,13,0)),"")</f>
        <v/>
      </c>
    </row>
    <row r="56" spans="1:17" ht="30" customHeight="1" x14ac:dyDescent="0.35">
      <c r="A56" s="898"/>
      <c r="B56" s="579"/>
      <c r="C56" s="1102"/>
      <c r="D56" s="993"/>
      <c r="E56" s="993"/>
      <c r="F56" s="1192"/>
      <c r="G56" s="1488" t="str">
        <f>IFERROR(VLOOKUP(B56,'Inhaler properties'!$L$3:$V$28,4,0),"")</f>
        <v/>
      </c>
      <c r="H56" s="165" t="str">
        <f>IFERROR(VLOOKUP(B56,'Inhaler properties'!$L$3:$V$28,2,0),"")</f>
        <v/>
      </c>
      <c r="I56" s="165" t="str">
        <f>IFERROR(VLOOKUP(B56,'Inhaler properties'!$L$3:$V$28,3,0),"")</f>
        <v/>
      </c>
      <c r="J56" s="183" t="str">
        <f t="shared" si="3"/>
        <v/>
      </c>
      <c r="K56" s="928" t="str">
        <f>IFERROR((VLOOKUP(B56,'Inhaler properties'!$L$3:$U$28,9,0)),"")</f>
        <v/>
      </c>
      <c r="L56" s="183" t="str">
        <f>IFERROR(((J56*VLOOKUP(I56,'Inhaler properties'!$A$21:$B$24,2,0))/1000),"")</f>
        <v/>
      </c>
      <c r="M56" s="998" t="str">
        <f t="shared" si="4"/>
        <v/>
      </c>
      <c r="N56" s="999" t="str">
        <f t="shared" si="5"/>
        <v/>
      </c>
      <c r="O56" s="1499" t="s">
        <v>192</v>
      </c>
      <c r="P56" s="217" t="str">
        <f>IFERROR((VLOOKUP(B56,'Inhaler properties'!$L$2:$Y$28,12,0)),"")</f>
        <v/>
      </c>
      <c r="Q56" s="195" t="str">
        <f>IFERROR((VLOOKUP(B56,'Inhaler properties'!$L$2:$Y$28,13,0)),"")</f>
        <v/>
      </c>
    </row>
    <row r="57" spans="1:17" ht="30" customHeight="1" x14ac:dyDescent="0.35">
      <c r="A57" s="898"/>
      <c r="B57" s="579"/>
      <c r="C57" s="1102"/>
      <c r="D57" s="993"/>
      <c r="E57" s="993"/>
      <c r="F57" s="1192"/>
      <c r="G57" s="1488" t="str">
        <f>IFERROR(VLOOKUP(B57,'Inhaler properties'!$L$3:$V$28,4,0),"")</f>
        <v/>
      </c>
      <c r="H57" s="165" t="str">
        <f>IFERROR(VLOOKUP(B57,'Inhaler properties'!$L$3:$V$28,2,0),"")</f>
        <v/>
      </c>
      <c r="I57" s="165" t="str">
        <f>IFERROR(VLOOKUP(B57,'Inhaler properties'!$L$3:$V$28,3,0),"")</f>
        <v/>
      </c>
      <c r="J57" s="183" t="str">
        <f t="shared" si="3"/>
        <v/>
      </c>
      <c r="K57" s="928" t="str">
        <f>IFERROR((VLOOKUP(B57,'Inhaler properties'!$L$3:$U$28,9,0)),"")</f>
        <v/>
      </c>
      <c r="L57" s="183" t="str">
        <f>IFERROR(((J57*VLOOKUP(I57,'Inhaler properties'!$A$21:$B$24,2,0))/1000),"")</f>
        <v/>
      </c>
      <c r="M57" s="998" t="str">
        <f t="shared" si="4"/>
        <v/>
      </c>
      <c r="N57" s="999" t="str">
        <f t="shared" si="5"/>
        <v/>
      </c>
      <c r="O57" s="1499" t="s">
        <v>192</v>
      </c>
      <c r="P57" s="217" t="str">
        <f>IFERROR((VLOOKUP(B57,'Inhaler properties'!$L$2:$Y$28,12,0)),"")</f>
        <v/>
      </c>
      <c r="Q57" s="195" t="str">
        <f>IFERROR((VLOOKUP(B57,'Inhaler properties'!$L$2:$Y$28,13,0)),"")</f>
        <v/>
      </c>
    </row>
    <row r="58" spans="1:17" ht="30" customHeight="1" x14ac:dyDescent="0.35">
      <c r="A58" s="898"/>
      <c r="B58" s="579"/>
      <c r="C58" s="1102"/>
      <c r="D58" s="993"/>
      <c r="E58" s="993"/>
      <c r="F58" s="1192"/>
      <c r="G58" s="1488" t="str">
        <f>IFERROR(VLOOKUP(B58,'Inhaler properties'!$L$3:$V$28,4,0),"")</f>
        <v/>
      </c>
      <c r="H58" s="165" t="str">
        <f>IFERROR(VLOOKUP(B58,'Inhaler properties'!$L$3:$V$28,2,0),"")</f>
        <v/>
      </c>
      <c r="I58" s="165" t="str">
        <f>IFERROR(VLOOKUP(B58,'Inhaler properties'!$L$3:$V$28,3,0),"")</f>
        <v/>
      </c>
      <c r="J58" s="183" t="str">
        <f t="shared" si="3"/>
        <v/>
      </c>
      <c r="K58" s="928" t="str">
        <f>IFERROR((VLOOKUP(B58,'Inhaler properties'!$L$3:$U$28,9,0)),"")</f>
        <v/>
      </c>
      <c r="L58" s="183" t="str">
        <f>IFERROR(((J58*VLOOKUP(I58,'Inhaler properties'!$A$21:$B$24,2,0))/1000),"")</f>
        <v/>
      </c>
      <c r="M58" s="998" t="str">
        <f t="shared" si="4"/>
        <v/>
      </c>
      <c r="N58" s="999" t="str">
        <f t="shared" si="5"/>
        <v/>
      </c>
      <c r="O58" s="1499" t="s">
        <v>192</v>
      </c>
      <c r="P58" s="217" t="str">
        <f>IFERROR((VLOOKUP(B58,'Inhaler properties'!$L$2:$Y$28,12,0)),"")</f>
        <v/>
      </c>
      <c r="Q58" s="195" t="str">
        <f>IFERROR((VLOOKUP(B58,'Inhaler properties'!$L$2:$Y$28,13,0)),"")</f>
        <v/>
      </c>
    </row>
    <row r="59" spans="1:17" ht="30" customHeight="1" x14ac:dyDescent="0.35">
      <c r="A59" s="898"/>
      <c r="B59" s="579"/>
      <c r="C59" s="1102"/>
      <c r="D59" s="993"/>
      <c r="E59" s="993"/>
      <c r="F59" s="1192"/>
      <c r="G59" s="1488" t="str">
        <f>IFERROR(VLOOKUP(B59,'Inhaler properties'!$L$3:$V$28,4,0),"")</f>
        <v/>
      </c>
      <c r="H59" s="165" t="str">
        <f>IFERROR(VLOOKUP(B59,'Inhaler properties'!$L$3:$V$28,2,0),"")</f>
        <v/>
      </c>
      <c r="I59" s="165" t="str">
        <f>IFERROR(VLOOKUP(B59,'Inhaler properties'!$L$3:$V$28,3,0),"")</f>
        <v/>
      </c>
      <c r="J59" s="183" t="str">
        <f t="shared" si="3"/>
        <v/>
      </c>
      <c r="K59" s="928" t="str">
        <f>IFERROR((VLOOKUP(B59,'Inhaler properties'!$L$3:$U$28,9,0)),"")</f>
        <v/>
      </c>
      <c r="L59" s="183" t="str">
        <f>IFERROR(((J59*VLOOKUP(I59,'Inhaler properties'!$A$21:$B$24,2,0))/1000),"")</f>
        <v/>
      </c>
      <c r="M59" s="998" t="str">
        <f t="shared" si="4"/>
        <v/>
      </c>
      <c r="N59" s="999" t="str">
        <f t="shared" si="5"/>
        <v/>
      </c>
      <c r="O59" s="1499" t="s">
        <v>192</v>
      </c>
      <c r="P59" s="217" t="str">
        <f>IFERROR((VLOOKUP(B59,'Inhaler properties'!$L$2:$Y$28,12,0)),"")</f>
        <v/>
      </c>
      <c r="Q59" s="195" t="str">
        <f>IFERROR((VLOOKUP(B59,'Inhaler properties'!$L$2:$Y$28,13,0)),"")</f>
        <v/>
      </c>
    </row>
    <row r="60" spans="1:17" ht="30" customHeight="1" x14ac:dyDescent="0.35">
      <c r="A60" s="898"/>
      <c r="B60" s="579"/>
      <c r="C60" s="1102"/>
      <c r="D60" s="993"/>
      <c r="E60" s="993"/>
      <c r="F60" s="1192"/>
      <c r="G60" s="1488" t="str">
        <f>IFERROR(VLOOKUP(B60,'Inhaler properties'!$L$3:$V$28,4,0),"")</f>
        <v/>
      </c>
      <c r="H60" s="165" t="str">
        <f>IFERROR(VLOOKUP(B60,'Inhaler properties'!$L$3:$V$28,2,0),"")</f>
        <v/>
      </c>
      <c r="I60" s="165" t="str">
        <f>IFERROR(VLOOKUP(B60,'Inhaler properties'!$L$3:$V$28,3,0),"")</f>
        <v/>
      </c>
      <c r="J60" s="183" t="str">
        <f t="shared" si="3"/>
        <v/>
      </c>
      <c r="K60" s="928" t="str">
        <f>IFERROR((VLOOKUP(B60,'Inhaler properties'!$L$3:$U$28,9,0)),"")</f>
        <v/>
      </c>
      <c r="L60" s="183" t="str">
        <f>IFERROR(((J60*VLOOKUP(I60,'Inhaler properties'!$A$21:$B$24,2,0))/1000),"")</f>
        <v/>
      </c>
      <c r="M60" s="998" t="str">
        <f t="shared" si="4"/>
        <v/>
      </c>
      <c r="N60" s="999" t="str">
        <f t="shared" si="5"/>
        <v/>
      </c>
      <c r="O60" s="1499" t="s">
        <v>192</v>
      </c>
      <c r="P60" s="217" t="str">
        <f>IFERROR((VLOOKUP(B60,'Inhaler properties'!$L$2:$Y$28,12,0)),"")</f>
        <v/>
      </c>
      <c r="Q60" s="195" t="str">
        <f>IFERROR((VLOOKUP(B60,'Inhaler properties'!$L$2:$Y$28,13,0)),"")</f>
        <v/>
      </c>
    </row>
    <row r="61" spans="1:17" ht="30" customHeight="1" x14ac:dyDescent="0.35">
      <c r="A61" s="898"/>
      <c r="B61" s="579"/>
      <c r="C61" s="1102"/>
      <c r="D61" s="993"/>
      <c r="E61" s="993"/>
      <c r="F61" s="1192"/>
      <c r="G61" s="1488" t="str">
        <f>IFERROR(VLOOKUP(B61,'Inhaler properties'!$L$3:$V$28,4,0),"")</f>
        <v/>
      </c>
      <c r="H61" s="165" t="str">
        <f>IFERROR(VLOOKUP(B61,'Inhaler properties'!$L$3:$V$28,2,0),"")</f>
        <v/>
      </c>
      <c r="I61" s="165" t="str">
        <f>IFERROR(VLOOKUP(B61,'Inhaler properties'!$L$3:$V$28,3,0),"")</f>
        <v/>
      </c>
      <c r="J61" s="183" t="str">
        <f t="shared" si="3"/>
        <v/>
      </c>
      <c r="K61" s="928" t="str">
        <f>IFERROR((VLOOKUP(B61,'Inhaler properties'!$L$3:$U$28,9,0)),"")</f>
        <v/>
      </c>
      <c r="L61" s="183" t="str">
        <f>IFERROR(((J61*VLOOKUP(I61,'Inhaler properties'!$A$21:$B$24,2,0))/1000),"")</f>
        <v/>
      </c>
      <c r="M61" s="998" t="str">
        <f t="shared" si="4"/>
        <v/>
      </c>
      <c r="N61" s="999" t="str">
        <f t="shared" si="5"/>
        <v/>
      </c>
      <c r="O61" s="1499" t="s">
        <v>192</v>
      </c>
      <c r="P61" s="217" t="str">
        <f>IFERROR((VLOOKUP(B61,'Inhaler properties'!$L$2:$Y$28,12,0)),"")</f>
        <v/>
      </c>
      <c r="Q61" s="195" t="str">
        <f>IFERROR((VLOOKUP(B61,'Inhaler properties'!$L$2:$Y$28,13,0)),"")</f>
        <v/>
      </c>
    </row>
    <row r="62" spans="1:17" ht="30" customHeight="1" x14ac:dyDescent="0.35">
      <c r="A62" s="898"/>
      <c r="B62" s="579"/>
      <c r="C62" s="1102"/>
      <c r="D62" s="993"/>
      <c r="E62" s="993"/>
      <c r="F62" s="1192"/>
      <c r="G62" s="1488" t="str">
        <f>IFERROR(VLOOKUP(B62,'Inhaler properties'!$L$3:$V$28,4,0),"")</f>
        <v/>
      </c>
      <c r="H62" s="165" t="str">
        <f>IFERROR(VLOOKUP(B62,'Inhaler properties'!$L$3:$V$28,2,0),"")</f>
        <v/>
      </c>
      <c r="I62" s="165" t="str">
        <f>IFERROR(VLOOKUP(B62,'Inhaler properties'!$L$3:$V$28,3,0),"")</f>
        <v/>
      </c>
      <c r="J62" s="183" t="str">
        <f t="shared" si="3"/>
        <v/>
      </c>
      <c r="K62" s="928" t="str">
        <f>IFERROR((VLOOKUP(B62,'Inhaler properties'!$L$3:$U$28,9,0)),"")</f>
        <v/>
      </c>
      <c r="L62" s="183" t="str">
        <f>IFERROR(((J62*VLOOKUP(I62,'Inhaler properties'!$A$21:$B$24,2,0))/1000),"")</f>
        <v/>
      </c>
      <c r="M62" s="998" t="str">
        <f t="shared" si="4"/>
        <v/>
      </c>
      <c r="N62" s="999" t="str">
        <f t="shared" si="5"/>
        <v/>
      </c>
      <c r="O62" s="1499" t="s">
        <v>192</v>
      </c>
      <c r="P62" s="217" t="str">
        <f>IFERROR((VLOOKUP(B62,'Inhaler properties'!$L$2:$Y$28,12,0)),"")</f>
        <v/>
      </c>
      <c r="Q62" s="195" t="str">
        <f>IFERROR((VLOOKUP(B62,'Inhaler properties'!$L$2:$Y$28,13,0)),"")</f>
        <v/>
      </c>
    </row>
    <row r="63" spans="1:17" ht="30" customHeight="1" x14ac:dyDescent="0.35">
      <c r="A63" s="898"/>
      <c r="B63" s="579"/>
      <c r="C63" s="1102"/>
      <c r="D63" s="993"/>
      <c r="E63" s="993"/>
      <c r="F63" s="1192"/>
      <c r="G63" s="1488" t="str">
        <f>IFERROR(VLOOKUP(B63,'Inhaler properties'!$L$3:$V$28,4,0),"")</f>
        <v/>
      </c>
      <c r="H63" s="165" t="str">
        <f>IFERROR(VLOOKUP(B63,'Inhaler properties'!$L$3:$V$28,2,0),"")</f>
        <v/>
      </c>
      <c r="I63" s="165" t="str">
        <f>IFERROR(VLOOKUP(B63,'Inhaler properties'!$L$3:$V$28,3,0),"")</f>
        <v/>
      </c>
      <c r="J63" s="183" t="str">
        <f t="shared" si="3"/>
        <v/>
      </c>
      <c r="K63" s="928" t="str">
        <f>IFERROR((VLOOKUP(B63,'Inhaler properties'!$L$3:$U$28,9,0)),"")</f>
        <v/>
      </c>
      <c r="L63" s="183" t="str">
        <f>IFERROR(((J63*VLOOKUP(I63,'Inhaler properties'!$A$21:$B$24,2,0))/1000),"")</f>
        <v/>
      </c>
      <c r="M63" s="998" t="str">
        <f t="shared" si="4"/>
        <v/>
      </c>
      <c r="N63" s="999" t="str">
        <f t="shared" si="5"/>
        <v/>
      </c>
      <c r="O63" s="1499" t="s">
        <v>192</v>
      </c>
      <c r="P63" s="217" t="str">
        <f>IFERROR((VLOOKUP(B63,'Inhaler properties'!$L$2:$Y$28,12,0)),"")</f>
        <v/>
      </c>
      <c r="Q63" s="195" t="str">
        <f>IFERROR((VLOOKUP(B63,'Inhaler properties'!$L$2:$Y$28,13,0)),"")</f>
        <v/>
      </c>
    </row>
    <row r="64" spans="1:17" ht="30" customHeight="1" x14ac:dyDescent="0.35">
      <c r="A64" s="898"/>
      <c r="B64" s="579"/>
      <c r="C64" s="1102"/>
      <c r="D64" s="993"/>
      <c r="E64" s="993"/>
      <c r="F64" s="1192"/>
      <c r="G64" s="1488" t="str">
        <f>IFERROR(VLOOKUP(B64,'Inhaler properties'!$L$3:$V$28,4,0),"")</f>
        <v/>
      </c>
      <c r="H64" s="165" t="str">
        <f>IFERROR(VLOOKUP(B64,'Inhaler properties'!$L$3:$V$28,2,0),"")</f>
        <v/>
      </c>
      <c r="I64" s="165" t="str">
        <f>IFERROR(VLOOKUP(B64,'Inhaler properties'!$L$3:$V$28,3,0),"")</f>
        <v/>
      </c>
      <c r="J64" s="183" t="str">
        <f t="shared" si="3"/>
        <v/>
      </c>
      <c r="K64" s="928" t="str">
        <f>IFERROR((VLOOKUP(B64,'Inhaler properties'!$L$3:$U$28,9,0)),"")</f>
        <v/>
      </c>
      <c r="L64" s="183" t="str">
        <f>IFERROR(((J64*VLOOKUP(I64,'Inhaler properties'!$A$21:$B$24,2,0))/1000),"")</f>
        <v/>
      </c>
      <c r="M64" s="998" t="str">
        <f t="shared" si="4"/>
        <v/>
      </c>
      <c r="N64" s="999" t="str">
        <f t="shared" si="5"/>
        <v/>
      </c>
      <c r="O64" s="1499" t="s">
        <v>192</v>
      </c>
      <c r="P64" s="217" t="str">
        <f>IFERROR((VLOOKUP(B64,'Inhaler properties'!$L$2:$Y$28,12,0)),"")</f>
        <v/>
      </c>
      <c r="Q64" s="195" t="str">
        <f>IFERROR((VLOOKUP(B64,'Inhaler properties'!$L$2:$Y$28,13,0)),"")</f>
        <v/>
      </c>
    </row>
    <row r="65" spans="1:17" ht="30" customHeight="1" x14ac:dyDescent="0.35">
      <c r="A65" s="898"/>
      <c r="B65" s="579"/>
      <c r="C65" s="1102"/>
      <c r="D65" s="993"/>
      <c r="E65" s="993"/>
      <c r="F65" s="1192"/>
      <c r="G65" s="1488" t="str">
        <f>IFERROR(VLOOKUP(B65,'Inhaler properties'!$L$3:$V$28,4,0),"")</f>
        <v/>
      </c>
      <c r="H65" s="165" t="str">
        <f>IFERROR(VLOOKUP(B65,'Inhaler properties'!$L$3:$V$28,2,0),"")</f>
        <v/>
      </c>
      <c r="I65" s="165" t="str">
        <f>IFERROR(VLOOKUP(B65,'Inhaler properties'!$L$3:$V$28,3,0),"")</f>
        <v/>
      </c>
      <c r="J65" s="183" t="str">
        <f t="shared" si="3"/>
        <v/>
      </c>
      <c r="K65" s="928" t="str">
        <f>IFERROR((VLOOKUP(B65,'Inhaler properties'!$L$3:$U$28,9,0)),"")</f>
        <v/>
      </c>
      <c r="L65" s="183" t="str">
        <f>IFERROR(((J65*VLOOKUP(I65,'Inhaler properties'!$A$21:$B$24,2,0))/1000),"")</f>
        <v/>
      </c>
      <c r="M65" s="998" t="str">
        <f t="shared" si="4"/>
        <v/>
      </c>
      <c r="N65" s="999" t="str">
        <f t="shared" si="5"/>
        <v/>
      </c>
      <c r="O65" s="1499" t="s">
        <v>192</v>
      </c>
      <c r="P65" s="217" t="str">
        <f>IFERROR((VLOOKUP(B65,'Inhaler properties'!$L$2:$Y$28,12,0)),"")</f>
        <v/>
      </c>
      <c r="Q65" s="195" t="str">
        <f>IFERROR((VLOOKUP(B65,'Inhaler properties'!$L$2:$Y$28,13,0)),"")</f>
        <v/>
      </c>
    </row>
    <row r="66" spans="1:17" ht="30" customHeight="1" x14ac:dyDescent="0.35">
      <c r="A66" s="898"/>
      <c r="B66" s="579"/>
      <c r="C66" s="1102"/>
      <c r="D66" s="993"/>
      <c r="E66" s="993"/>
      <c r="F66" s="1192"/>
      <c r="G66" s="1488" t="str">
        <f>IFERROR(VLOOKUP(B66,'Inhaler properties'!$L$3:$V$28,4,0),"")</f>
        <v/>
      </c>
      <c r="H66" s="165" t="str">
        <f>IFERROR(VLOOKUP(B66,'Inhaler properties'!$L$3:$V$28,2,0),"")</f>
        <v/>
      </c>
      <c r="I66" s="165" t="str">
        <f>IFERROR(VLOOKUP(B66,'Inhaler properties'!$L$3:$V$28,3,0),"")</f>
        <v/>
      </c>
      <c r="J66" s="183" t="str">
        <f t="shared" si="3"/>
        <v/>
      </c>
      <c r="K66" s="928" t="str">
        <f>IFERROR((VLOOKUP(B66,'Inhaler properties'!$L$3:$U$28,9,0)),"")</f>
        <v/>
      </c>
      <c r="L66" s="183" t="str">
        <f>IFERROR(((J66*VLOOKUP(I66,'Inhaler properties'!$A$21:$B$24,2,0))/1000),"")</f>
        <v/>
      </c>
      <c r="M66" s="998" t="str">
        <f t="shared" si="4"/>
        <v/>
      </c>
      <c r="N66" s="999" t="str">
        <f t="shared" si="5"/>
        <v/>
      </c>
      <c r="O66" s="1499" t="s">
        <v>192</v>
      </c>
      <c r="P66" s="217" t="str">
        <f>IFERROR((VLOOKUP(B66,'Inhaler properties'!$L$2:$Y$28,12,0)),"")</f>
        <v/>
      </c>
      <c r="Q66" s="195" t="str">
        <f>IFERROR((VLOOKUP(B66,'Inhaler properties'!$L$2:$Y$28,13,0)),"")</f>
        <v/>
      </c>
    </row>
    <row r="67" spans="1:17" ht="30" customHeight="1" x14ac:dyDescent="0.35">
      <c r="A67" s="898"/>
      <c r="B67" s="579"/>
      <c r="C67" s="1102"/>
      <c r="D67" s="993"/>
      <c r="E67" s="993"/>
      <c r="F67" s="1192"/>
      <c r="G67" s="1488" t="str">
        <f>IFERROR(VLOOKUP(B67,'Inhaler properties'!$L$3:$V$28,4,0),"")</f>
        <v/>
      </c>
      <c r="H67" s="165" t="str">
        <f>IFERROR(VLOOKUP(B67,'Inhaler properties'!$L$3:$V$28,2,0),"")</f>
        <v/>
      </c>
      <c r="I67" s="165" t="str">
        <f>IFERROR(VLOOKUP(B67,'Inhaler properties'!$L$3:$V$28,3,0),"")</f>
        <v/>
      </c>
      <c r="J67" s="183" t="str">
        <f t="shared" si="3"/>
        <v/>
      </c>
      <c r="K67" s="928" t="str">
        <f>IFERROR((VLOOKUP(B67,'Inhaler properties'!$L$3:$U$28,9,0)),"")</f>
        <v/>
      </c>
      <c r="L67" s="183" t="str">
        <f>IFERROR(((J67*VLOOKUP(I67,'Inhaler properties'!$A$21:$B$24,2,0))/1000),"")</f>
        <v/>
      </c>
      <c r="M67" s="998" t="str">
        <f t="shared" si="4"/>
        <v/>
      </c>
      <c r="N67" s="999" t="str">
        <f t="shared" si="5"/>
        <v/>
      </c>
      <c r="O67" s="1499" t="s">
        <v>192</v>
      </c>
      <c r="P67" s="217" t="str">
        <f>IFERROR((VLOOKUP(B67,'Inhaler properties'!$L$2:$Y$28,12,0)),"")</f>
        <v/>
      </c>
      <c r="Q67" s="195" t="str">
        <f>IFERROR((VLOOKUP(B67,'Inhaler properties'!$L$2:$Y$28,13,0)),"")</f>
        <v/>
      </c>
    </row>
    <row r="68" spans="1:17" ht="30" customHeight="1" x14ac:dyDescent="0.35">
      <c r="A68" s="898"/>
      <c r="B68" s="579"/>
      <c r="C68" s="1102"/>
      <c r="D68" s="993"/>
      <c r="E68" s="993"/>
      <c r="F68" s="1192"/>
      <c r="G68" s="1488" t="str">
        <f>IFERROR(VLOOKUP(B68,'Inhaler properties'!$L$3:$V$28,4,0),"")</f>
        <v/>
      </c>
      <c r="H68" s="165" t="str">
        <f>IFERROR(VLOOKUP(B68,'Inhaler properties'!$L$3:$V$28,2,0),"")</f>
        <v/>
      </c>
      <c r="I68" s="165" t="str">
        <f>IFERROR(VLOOKUP(B68,'Inhaler properties'!$L$3:$V$28,3,0),"")</f>
        <v/>
      </c>
      <c r="J68" s="183" t="str">
        <f t="shared" si="3"/>
        <v/>
      </c>
      <c r="K68" s="928" t="str">
        <f>IFERROR((VLOOKUP(B68,'Inhaler properties'!$L$3:$U$28,9,0)),"")</f>
        <v/>
      </c>
      <c r="L68" s="183" t="str">
        <f>IFERROR(((J68*VLOOKUP(I68,'Inhaler properties'!$A$21:$B$24,2,0))/1000),"")</f>
        <v/>
      </c>
      <c r="M68" s="998" t="str">
        <f t="shared" si="4"/>
        <v/>
      </c>
      <c r="N68" s="999" t="str">
        <f t="shared" si="5"/>
        <v/>
      </c>
      <c r="O68" s="1499" t="s">
        <v>192</v>
      </c>
      <c r="P68" s="217" t="str">
        <f>IFERROR((VLOOKUP(B68,'Inhaler properties'!$L$2:$Y$28,12,0)),"")</f>
        <v/>
      </c>
      <c r="Q68" s="195" t="str">
        <f>IFERROR((VLOOKUP(B68,'Inhaler properties'!$L$2:$Y$28,13,0)),"")</f>
        <v/>
      </c>
    </row>
    <row r="69" spans="1:17" ht="30" customHeight="1" x14ac:dyDescent="0.35">
      <c r="A69" s="898"/>
      <c r="B69" s="579"/>
      <c r="C69" s="1102"/>
      <c r="D69" s="993"/>
      <c r="E69" s="993"/>
      <c r="F69" s="1192"/>
      <c r="G69" s="1488" t="str">
        <f>IFERROR(VLOOKUP(B69,'Inhaler properties'!$L$3:$V$28,4,0),"")</f>
        <v/>
      </c>
      <c r="H69" s="165" t="str">
        <f>IFERROR(VLOOKUP(B69,'Inhaler properties'!$L$3:$V$28,2,0),"")</f>
        <v/>
      </c>
      <c r="I69" s="165" t="str">
        <f>IFERROR(VLOOKUP(B69,'Inhaler properties'!$L$3:$V$28,3,0),"")</f>
        <v/>
      </c>
      <c r="J69" s="183" t="str">
        <f t="shared" si="3"/>
        <v/>
      </c>
      <c r="K69" s="928" t="str">
        <f>IFERROR((VLOOKUP(B69,'Inhaler properties'!$L$3:$U$28,9,0)),"")</f>
        <v/>
      </c>
      <c r="L69" s="183" t="str">
        <f>IFERROR(((J69*VLOOKUP(I69,'Inhaler properties'!$A$21:$B$24,2,0))/1000),"")</f>
        <v/>
      </c>
      <c r="M69" s="998" t="str">
        <f t="shared" si="4"/>
        <v/>
      </c>
      <c r="N69" s="999" t="str">
        <f t="shared" si="5"/>
        <v/>
      </c>
      <c r="O69" s="1499" t="s">
        <v>192</v>
      </c>
      <c r="P69" s="217" t="str">
        <f>IFERROR((VLOOKUP(B69,'Inhaler properties'!$L$2:$Y$28,12,0)),"")</f>
        <v/>
      </c>
      <c r="Q69" s="195" t="str">
        <f>IFERROR((VLOOKUP(B69,'Inhaler properties'!$L$2:$Y$28,13,0)),"")</f>
        <v/>
      </c>
    </row>
    <row r="70" spans="1:17" ht="30" customHeight="1" x14ac:dyDescent="0.35">
      <c r="A70" s="898"/>
      <c r="B70" s="579"/>
      <c r="C70" s="1102"/>
      <c r="D70" s="993"/>
      <c r="E70" s="993"/>
      <c r="F70" s="1192"/>
      <c r="G70" s="1488" t="str">
        <f>IFERROR(VLOOKUP(B70,'Inhaler properties'!$L$3:$V$28,4,0),"")</f>
        <v/>
      </c>
      <c r="H70" s="165" t="str">
        <f>IFERROR(VLOOKUP(B70,'Inhaler properties'!$L$3:$V$28,2,0),"")</f>
        <v/>
      </c>
      <c r="I70" s="165" t="str">
        <f>IFERROR(VLOOKUP(B70,'Inhaler properties'!$L$3:$V$28,3,0),"")</f>
        <v/>
      </c>
      <c r="J70" s="183" t="str">
        <f t="shared" si="3"/>
        <v/>
      </c>
      <c r="K70" s="928" t="str">
        <f>IFERROR((VLOOKUP(B70,'Inhaler properties'!$L$3:$U$28,9,0)),"")</f>
        <v/>
      </c>
      <c r="L70" s="183" t="str">
        <f>IFERROR(((J70*VLOOKUP(I70,'Inhaler properties'!$A$21:$B$24,2,0))/1000),"")</f>
        <v/>
      </c>
      <c r="M70" s="998" t="str">
        <f t="shared" si="4"/>
        <v/>
      </c>
      <c r="N70" s="999" t="str">
        <f t="shared" si="5"/>
        <v/>
      </c>
      <c r="O70" s="1499" t="s">
        <v>192</v>
      </c>
      <c r="P70" s="217" t="str">
        <f>IFERROR((VLOOKUP(B70,'Inhaler properties'!$L$2:$Y$28,12,0)),"")</f>
        <v/>
      </c>
      <c r="Q70" s="195" t="str">
        <f>IFERROR((VLOOKUP(B70,'Inhaler properties'!$L$2:$Y$28,13,0)),"")</f>
        <v/>
      </c>
    </row>
    <row r="71" spans="1:17" ht="30" customHeight="1" x14ac:dyDescent="0.35">
      <c r="A71" s="898"/>
      <c r="B71" s="579"/>
      <c r="C71" s="1102"/>
      <c r="D71" s="993"/>
      <c r="E71" s="993"/>
      <c r="F71" s="1192"/>
      <c r="G71" s="1488" t="str">
        <f>IFERROR(VLOOKUP(B71,'Inhaler properties'!$L$3:$V$28,4,0),"")</f>
        <v/>
      </c>
      <c r="H71" s="165" t="str">
        <f>IFERROR(VLOOKUP(B71,'Inhaler properties'!$L$3:$V$28,2,0),"")</f>
        <v/>
      </c>
      <c r="I71" s="165" t="str">
        <f>IFERROR(VLOOKUP(B71,'Inhaler properties'!$L$3:$V$28,3,0),"")</f>
        <v/>
      </c>
      <c r="J71" s="183" t="str">
        <f t="shared" si="3"/>
        <v/>
      </c>
      <c r="K71" s="928" t="str">
        <f>IFERROR((VLOOKUP(B71,'Inhaler properties'!$L$3:$U$28,9,0)),"")</f>
        <v/>
      </c>
      <c r="L71" s="183" t="str">
        <f>IFERROR(((J71*VLOOKUP(I71,'Inhaler properties'!$A$21:$B$24,2,0))/1000),"")</f>
        <v/>
      </c>
      <c r="M71" s="998" t="str">
        <f t="shared" si="4"/>
        <v/>
      </c>
      <c r="N71" s="999" t="str">
        <f t="shared" si="5"/>
        <v/>
      </c>
      <c r="O71" s="1499" t="s">
        <v>192</v>
      </c>
      <c r="P71" s="217" t="str">
        <f>IFERROR((VLOOKUP(B71,'Inhaler properties'!$L$2:$Y$28,12,0)),"")</f>
        <v/>
      </c>
      <c r="Q71" s="195" t="str">
        <f>IFERROR((VLOOKUP(B71,'Inhaler properties'!$L$2:$Y$28,13,0)),"")</f>
        <v/>
      </c>
    </row>
    <row r="72" spans="1:17" ht="30" customHeight="1" x14ac:dyDescent="0.35">
      <c r="A72" s="898"/>
      <c r="B72" s="579"/>
      <c r="C72" s="1102"/>
      <c r="D72" s="993"/>
      <c r="E72" s="993"/>
      <c r="F72" s="1192"/>
      <c r="G72" s="1488" t="str">
        <f>IFERROR(VLOOKUP(B72,'Inhaler properties'!$L$3:$V$28,4,0),"")</f>
        <v/>
      </c>
      <c r="H72" s="165" t="str">
        <f>IFERROR(VLOOKUP(B72,'Inhaler properties'!$L$3:$V$28,2,0),"")</f>
        <v/>
      </c>
      <c r="I72" s="165" t="str">
        <f>IFERROR(VLOOKUP(B72,'Inhaler properties'!$L$3:$V$28,3,0),"")</f>
        <v/>
      </c>
      <c r="J72" s="183" t="str">
        <f t="shared" si="3"/>
        <v/>
      </c>
      <c r="K72" s="928" t="str">
        <f>IFERROR((VLOOKUP(B72,'Inhaler properties'!$L$3:$U$28,9,0)),"")</f>
        <v/>
      </c>
      <c r="L72" s="183" t="str">
        <f>IFERROR(((J72*VLOOKUP(I72,'Inhaler properties'!$A$21:$B$24,2,0))/1000),"")</f>
        <v/>
      </c>
      <c r="M72" s="998" t="str">
        <f t="shared" si="4"/>
        <v/>
      </c>
      <c r="N72" s="999" t="str">
        <f t="shared" si="5"/>
        <v/>
      </c>
      <c r="O72" s="1499" t="s">
        <v>192</v>
      </c>
      <c r="P72" s="217" t="str">
        <f>IFERROR((VLOOKUP(B72,'Inhaler properties'!$L$2:$Y$28,12,0)),"")</f>
        <v/>
      </c>
      <c r="Q72" s="195" t="str">
        <f>IFERROR((VLOOKUP(B72,'Inhaler properties'!$L$2:$Y$28,13,0)),"")</f>
        <v/>
      </c>
    </row>
    <row r="73" spans="1:17" ht="30" customHeight="1" x14ac:dyDescent="0.35">
      <c r="A73" s="898"/>
      <c r="B73" s="579"/>
      <c r="C73" s="1102"/>
      <c r="D73" s="993"/>
      <c r="E73" s="993"/>
      <c r="F73" s="1192"/>
      <c r="G73" s="1488" t="str">
        <f>IFERROR(VLOOKUP(B73,'Inhaler properties'!$L$3:$V$28,4,0),"")</f>
        <v/>
      </c>
      <c r="H73" s="165" t="str">
        <f>IFERROR(VLOOKUP(B73,'Inhaler properties'!$L$3:$V$28,2,0),"")</f>
        <v/>
      </c>
      <c r="I73" s="165" t="str">
        <f>IFERROR(VLOOKUP(B73,'Inhaler properties'!$L$3:$V$28,3,0),"")</f>
        <v/>
      </c>
      <c r="J73" s="183" t="str">
        <f t="shared" si="3"/>
        <v/>
      </c>
      <c r="K73" s="928" t="str">
        <f>IFERROR((VLOOKUP(B73,'Inhaler properties'!$L$3:$U$28,9,0)),"")</f>
        <v/>
      </c>
      <c r="L73" s="183" t="str">
        <f>IFERROR(((J73*VLOOKUP(I73,'Inhaler properties'!$A$21:$B$24,2,0))/1000),"")</f>
        <v/>
      </c>
      <c r="M73" s="998" t="str">
        <f t="shared" si="4"/>
        <v/>
      </c>
      <c r="N73" s="999" t="str">
        <f t="shared" si="5"/>
        <v/>
      </c>
      <c r="O73" s="1499" t="s">
        <v>192</v>
      </c>
      <c r="P73" s="217" t="str">
        <f>IFERROR((VLOOKUP(B73,'Inhaler properties'!$L$2:$Y$28,12,0)),"")</f>
        <v/>
      </c>
      <c r="Q73" s="195" t="str">
        <f>IFERROR((VLOOKUP(B73,'Inhaler properties'!$L$2:$Y$28,13,0)),"")</f>
        <v/>
      </c>
    </row>
    <row r="74" spans="1:17" ht="30" customHeight="1" x14ac:dyDescent="0.35">
      <c r="A74" s="898"/>
      <c r="B74" s="579"/>
      <c r="C74" s="1102"/>
      <c r="D74" s="993"/>
      <c r="E74" s="993"/>
      <c r="F74" s="1192"/>
      <c r="G74" s="1488" t="str">
        <f>IFERROR(VLOOKUP(B74,'Inhaler properties'!$L$3:$V$28,4,0),"")</f>
        <v/>
      </c>
      <c r="H74" s="165" t="str">
        <f>IFERROR(VLOOKUP(B74,'Inhaler properties'!$L$3:$V$28,2,0),"")</f>
        <v/>
      </c>
      <c r="I74" s="165" t="str">
        <f>IFERROR(VLOOKUP(B74,'Inhaler properties'!$L$3:$V$28,3,0),"")</f>
        <v/>
      </c>
      <c r="J74" s="183" t="str">
        <f t="shared" si="3"/>
        <v/>
      </c>
      <c r="K74" s="928" t="str">
        <f>IFERROR((VLOOKUP(B74,'Inhaler properties'!$L$3:$U$28,9,0)),"")</f>
        <v/>
      </c>
      <c r="L74" s="183" t="str">
        <f>IFERROR(((J74*VLOOKUP(I74,'Inhaler properties'!$A$21:$B$24,2,0))/1000),"")</f>
        <v/>
      </c>
      <c r="M74" s="998" t="str">
        <f t="shared" si="4"/>
        <v/>
      </c>
      <c r="N74" s="999" t="str">
        <f t="shared" si="5"/>
        <v/>
      </c>
      <c r="O74" s="1499" t="s">
        <v>192</v>
      </c>
      <c r="P74" s="217" t="str">
        <f>IFERROR((VLOOKUP(B74,'Inhaler properties'!$L$2:$Y$28,12,0)),"")</f>
        <v/>
      </c>
      <c r="Q74" s="195" t="str">
        <f>IFERROR((VLOOKUP(B74,'Inhaler properties'!$L$2:$Y$28,13,0)),"")</f>
        <v/>
      </c>
    </row>
    <row r="75" spans="1:17" ht="30" customHeight="1" x14ac:dyDescent="0.35">
      <c r="A75" s="898"/>
      <c r="B75" s="579"/>
      <c r="C75" s="1102"/>
      <c r="D75" s="993"/>
      <c r="E75" s="993"/>
      <c r="F75" s="1192"/>
      <c r="G75" s="1488" t="str">
        <f>IFERROR(VLOOKUP(B75,'Inhaler properties'!$L$3:$V$28,4,0),"")</f>
        <v/>
      </c>
      <c r="H75" s="165" t="str">
        <f>IFERROR(VLOOKUP(B75,'Inhaler properties'!$L$3:$V$28,2,0),"")</f>
        <v/>
      </c>
      <c r="I75" s="165" t="str">
        <f>IFERROR(VLOOKUP(B75,'Inhaler properties'!$L$3:$V$28,3,0),"")</f>
        <v/>
      </c>
      <c r="J75" s="183" t="str">
        <f t="shared" si="3"/>
        <v/>
      </c>
      <c r="K75" s="928" t="str">
        <f>IFERROR((VLOOKUP(B75,'Inhaler properties'!$L$3:$U$28,9,0)),"")</f>
        <v/>
      </c>
      <c r="L75" s="183" t="str">
        <f>IFERROR(((J75*VLOOKUP(I75,'Inhaler properties'!$A$21:$B$24,2,0))/1000),"")</f>
        <v/>
      </c>
      <c r="M75" s="998" t="str">
        <f t="shared" si="4"/>
        <v/>
      </c>
      <c r="N75" s="999" t="str">
        <f t="shared" si="5"/>
        <v/>
      </c>
      <c r="O75" s="1499" t="s">
        <v>192</v>
      </c>
      <c r="P75" s="217" t="str">
        <f>IFERROR((VLOOKUP(B75,'Inhaler properties'!$L$2:$Y$28,12,0)),"")</f>
        <v/>
      </c>
      <c r="Q75" s="195" t="str">
        <f>IFERROR((VLOOKUP(B75,'Inhaler properties'!$L$2:$Y$28,13,0)),"")</f>
        <v/>
      </c>
    </row>
    <row r="76" spans="1:17" ht="30" customHeight="1" x14ac:dyDescent="0.35">
      <c r="A76" s="898"/>
      <c r="B76" s="579"/>
      <c r="C76" s="1102"/>
      <c r="D76" s="993"/>
      <c r="E76" s="993"/>
      <c r="F76" s="1192"/>
      <c r="G76" s="1488" t="str">
        <f>IFERROR(VLOOKUP(B76,'Inhaler properties'!$L$3:$V$28,4,0),"")</f>
        <v/>
      </c>
      <c r="H76" s="165" t="str">
        <f>IFERROR(VLOOKUP(B76,'Inhaler properties'!$L$3:$V$28,2,0),"")</f>
        <v/>
      </c>
      <c r="I76" s="165" t="str">
        <f>IFERROR(VLOOKUP(B76,'Inhaler properties'!$L$3:$V$28,3,0),"")</f>
        <v/>
      </c>
      <c r="J76" s="183" t="str">
        <f t="shared" si="3"/>
        <v/>
      </c>
      <c r="K76" s="928" t="str">
        <f>IFERROR((VLOOKUP(B76,'Inhaler properties'!$L$3:$U$28,9,0)),"")</f>
        <v/>
      </c>
      <c r="L76" s="183" t="str">
        <f>IFERROR(((J76*VLOOKUP(I76,'Inhaler properties'!$A$21:$B$24,2,0))/1000),"")</f>
        <v/>
      </c>
      <c r="M76" s="998" t="str">
        <f t="shared" si="4"/>
        <v/>
      </c>
      <c r="N76" s="999" t="str">
        <f t="shared" si="5"/>
        <v/>
      </c>
      <c r="O76" s="1499" t="s">
        <v>192</v>
      </c>
      <c r="P76" s="217" t="str">
        <f>IFERROR((VLOOKUP(B76,'Inhaler properties'!$L$2:$Y$28,12,0)),"")</f>
        <v/>
      </c>
      <c r="Q76" s="195" t="str">
        <f>IFERROR((VLOOKUP(B76,'Inhaler properties'!$L$2:$Y$28,13,0)),"")</f>
        <v/>
      </c>
    </row>
    <row r="77" spans="1:17" ht="30" customHeight="1" x14ac:dyDescent="0.35">
      <c r="A77" s="898"/>
      <c r="B77" s="579"/>
      <c r="C77" s="1102"/>
      <c r="D77" s="993"/>
      <c r="E77" s="993"/>
      <c r="F77" s="1192"/>
      <c r="G77" s="1488" t="str">
        <f>IFERROR(VLOOKUP(B77,'Inhaler properties'!$L$3:$V$28,4,0),"")</f>
        <v/>
      </c>
      <c r="H77" s="165" t="str">
        <f>IFERROR(VLOOKUP(B77,'Inhaler properties'!$L$3:$V$28,2,0),"")</f>
        <v/>
      </c>
      <c r="I77" s="165" t="str">
        <f>IFERROR(VLOOKUP(B77,'Inhaler properties'!$L$3:$V$28,3,0),"")</f>
        <v/>
      </c>
      <c r="J77" s="183" t="str">
        <f t="shared" ref="J77:J106" si="6">IFERROR((K77*C77),"")</f>
        <v/>
      </c>
      <c r="K77" s="928" t="str">
        <f>IFERROR((VLOOKUP(B77,'Inhaler properties'!$L$3:$U$28,9,0)),"")</f>
        <v/>
      </c>
      <c r="L77" s="183" t="str">
        <f>IFERROR(((J77*VLOOKUP(I77,'Inhaler properties'!$A$21:$B$24,2,0))/1000),"")</f>
        <v/>
      </c>
      <c r="M77" s="998" t="str">
        <f t="shared" ref="M77:M106" si="7">IFERROR((K77*D77*C77),"")</f>
        <v/>
      </c>
      <c r="N77" s="999" t="str">
        <f t="shared" ref="N77:N106" si="8">IFERROR((K77*E77*C77),"")</f>
        <v/>
      </c>
      <c r="O77" s="1499" t="s">
        <v>192</v>
      </c>
      <c r="P77" s="217" t="str">
        <f>IFERROR((VLOOKUP(B77,'Inhaler properties'!$L$2:$Y$28,12,0)),"")</f>
        <v/>
      </c>
      <c r="Q77" s="195" t="str">
        <f>IFERROR((VLOOKUP(B77,'Inhaler properties'!$L$2:$Y$28,13,0)),"")</f>
        <v/>
      </c>
    </row>
    <row r="78" spans="1:17" ht="30" customHeight="1" x14ac:dyDescent="0.35">
      <c r="A78" s="898"/>
      <c r="B78" s="579"/>
      <c r="C78" s="1102"/>
      <c r="D78" s="993"/>
      <c r="E78" s="993"/>
      <c r="F78" s="1192"/>
      <c r="G78" s="1488" t="str">
        <f>IFERROR(VLOOKUP(B78,'Inhaler properties'!$L$3:$V$28,4,0),"")</f>
        <v/>
      </c>
      <c r="H78" s="165" t="str">
        <f>IFERROR(VLOOKUP(B78,'Inhaler properties'!$L$3:$V$28,2,0),"")</f>
        <v/>
      </c>
      <c r="I78" s="165" t="str">
        <f>IFERROR(VLOOKUP(B78,'Inhaler properties'!$L$3:$V$28,3,0),"")</f>
        <v/>
      </c>
      <c r="J78" s="183" t="str">
        <f t="shared" si="6"/>
        <v/>
      </c>
      <c r="K78" s="928" t="str">
        <f>IFERROR((VLOOKUP(B78,'Inhaler properties'!$L$3:$U$28,9,0)),"")</f>
        <v/>
      </c>
      <c r="L78" s="183" t="str">
        <f>IFERROR(((J78*VLOOKUP(I78,'Inhaler properties'!$A$21:$B$24,2,0))/1000),"")</f>
        <v/>
      </c>
      <c r="M78" s="998" t="str">
        <f t="shared" si="7"/>
        <v/>
      </c>
      <c r="N78" s="999" t="str">
        <f t="shared" si="8"/>
        <v/>
      </c>
      <c r="O78" s="1499" t="s">
        <v>192</v>
      </c>
      <c r="P78" s="217" t="str">
        <f>IFERROR((VLOOKUP(B78,'Inhaler properties'!$L$2:$Y$28,12,0)),"")</f>
        <v/>
      </c>
      <c r="Q78" s="195" t="str">
        <f>IFERROR((VLOOKUP(B78,'Inhaler properties'!$L$2:$Y$28,13,0)),"")</f>
        <v/>
      </c>
    </row>
    <row r="79" spans="1:17" ht="30" customHeight="1" x14ac:dyDescent="0.35">
      <c r="A79" s="898"/>
      <c r="B79" s="579"/>
      <c r="C79" s="1102"/>
      <c r="D79" s="993"/>
      <c r="E79" s="993"/>
      <c r="F79" s="1192"/>
      <c r="G79" s="1488" t="str">
        <f>IFERROR(VLOOKUP(B79,'Inhaler properties'!$L$3:$V$28,4,0),"")</f>
        <v/>
      </c>
      <c r="H79" s="165" t="str">
        <f>IFERROR(VLOOKUP(B79,'Inhaler properties'!$L$3:$V$28,2,0),"")</f>
        <v/>
      </c>
      <c r="I79" s="165" t="str">
        <f>IFERROR(VLOOKUP(B79,'Inhaler properties'!$L$3:$V$28,3,0),"")</f>
        <v/>
      </c>
      <c r="J79" s="183" t="str">
        <f t="shared" si="6"/>
        <v/>
      </c>
      <c r="K79" s="928" t="str">
        <f>IFERROR((VLOOKUP(B79,'Inhaler properties'!$L$3:$U$28,9,0)),"")</f>
        <v/>
      </c>
      <c r="L79" s="183" t="str">
        <f>IFERROR(((J79*VLOOKUP(I79,'Inhaler properties'!$A$21:$B$24,2,0))/1000),"")</f>
        <v/>
      </c>
      <c r="M79" s="998" t="str">
        <f t="shared" si="7"/>
        <v/>
      </c>
      <c r="N79" s="999" t="str">
        <f t="shared" si="8"/>
        <v/>
      </c>
      <c r="O79" s="1499" t="s">
        <v>192</v>
      </c>
      <c r="P79" s="217" t="str">
        <f>IFERROR((VLOOKUP(B79,'Inhaler properties'!$L$2:$Y$28,12,0)),"")</f>
        <v/>
      </c>
      <c r="Q79" s="195" t="str">
        <f>IFERROR((VLOOKUP(B79,'Inhaler properties'!$L$2:$Y$28,13,0)),"")</f>
        <v/>
      </c>
    </row>
    <row r="80" spans="1:17" ht="30" customHeight="1" x14ac:dyDescent="0.35">
      <c r="A80" s="898"/>
      <c r="B80" s="579"/>
      <c r="C80" s="1102"/>
      <c r="D80" s="993"/>
      <c r="E80" s="993"/>
      <c r="F80" s="1192"/>
      <c r="G80" s="1488" t="str">
        <f>IFERROR(VLOOKUP(B80,'Inhaler properties'!$L$3:$V$28,4,0),"")</f>
        <v/>
      </c>
      <c r="H80" s="165" t="str">
        <f>IFERROR(VLOOKUP(B80,'Inhaler properties'!$L$3:$V$28,2,0),"")</f>
        <v/>
      </c>
      <c r="I80" s="165" t="str">
        <f>IFERROR(VLOOKUP(B80,'Inhaler properties'!$L$3:$V$28,3,0),"")</f>
        <v/>
      </c>
      <c r="J80" s="183" t="str">
        <f t="shared" si="6"/>
        <v/>
      </c>
      <c r="K80" s="928" t="str">
        <f>IFERROR((VLOOKUP(B80,'Inhaler properties'!$L$3:$U$28,9,0)),"")</f>
        <v/>
      </c>
      <c r="L80" s="183" t="str">
        <f>IFERROR(((J80*VLOOKUP(I80,'Inhaler properties'!$A$21:$B$24,2,0))/1000),"")</f>
        <v/>
      </c>
      <c r="M80" s="998" t="str">
        <f t="shared" si="7"/>
        <v/>
      </c>
      <c r="N80" s="999" t="str">
        <f t="shared" si="8"/>
        <v/>
      </c>
      <c r="O80" s="1499" t="s">
        <v>192</v>
      </c>
      <c r="P80" s="217" t="str">
        <f>IFERROR((VLOOKUP(B80,'Inhaler properties'!$L$2:$Y$28,12,0)),"")</f>
        <v/>
      </c>
      <c r="Q80" s="195" t="str">
        <f>IFERROR((VLOOKUP(B80,'Inhaler properties'!$L$2:$Y$28,13,0)),"")</f>
        <v/>
      </c>
    </row>
    <row r="81" spans="1:17" ht="30" customHeight="1" x14ac:dyDescent="0.35">
      <c r="A81" s="898"/>
      <c r="B81" s="579"/>
      <c r="C81" s="1102"/>
      <c r="D81" s="993"/>
      <c r="E81" s="993"/>
      <c r="F81" s="1192"/>
      <c r="G81" s="1488" t="str">
        <f>IFERROR(VLOOKUP(B81,'Inhaler properties'!$L$3:$V$28,4,0),"")</f>
        <v/>
      </c>
      <c r="H81" s="165" t="str">
        <f>IFERROR(VLOOKUP(B81,'Inhaler properties'!$L$3:$V$28,2,0),"")</f>
        <v/>
      </c>
      <c r="I81" s="165" t="str">
        <f>IFERROR(VLOOKUP(B81,'Inhaler properties'!$L$3:$V$28,3,0),"")</f>
        <v/>
      </c>
      <c r="J81" s="183" t="str">
        <f t="shared" si="6"/>
        <v/>
      </c>
      <c r="K81" s="928" t="str">
        <f>IFERROR((VLOOKUP(B81,'Inhaler properties'!$L$3:$U$28,9,0)),"")</f>
        <v/>
      </c>
      <c r="L81" s="183" t="str">
        <f>IFERROR(((J81*VLOOKUP(I81,'Inhaler properties'!$A$21:$B$24,2,0))/1000),"")</f>
        <v/>
      </c>
      <c r="M81" s="998" t="str">
        <f t="shared" si="7"/>
        <v/>
      </c>
      <c r="N81" s="999" t="str">
        <f t="shared" si="8"/>
        <v/>
      </c>
      <c r="O81" s="1499" t="s">
        <v>192</v>
      </c>
      <c r="P81" s="217" t="str">
        <f>IFERROR((VLOOKUP(B81,'Inhaler properties'!$L$2:$Y$28,12,0)),"")</f>
        <v/>
      </c>
      <c r="Q81" s="195" t="str">
        <f>IFERROR((VLOOKUP(B81,'Inhaler properties'!$L$2:$Y$28,13,0)),"")</f>
        <v/>
      </c>
    </row>
    <row r="82" spans="1:17" ht="30" customHeight="1" x14ac:dyDescent="0.35">
      <c r="A82" s="898"/>
      <c r="B82" s="579"/>
      <c r="C82" s="1102"/>
      <c r="D82" s="993"/>
      <c r="E82" s="993"/>
      <c r="F82" s="1192"/>
      <c r="G82" s="1488" t="str">
        <f>IFERROR(VLOOKUP(B82,'Inhaler properties'!$L$3:$V$28,4,0),"")</f>
        <v/>
      </c>
      <c r="H82" s="165" t="str">
        <f>IFERROR(VLOOKUP(B82,'Inhaler properties'!$L$3:$V$28,2,0),"")</f>
        <v/>
      </c>
      <c r="I82" s="165" t="str">
        <f>IFERROR(VLOOKUP(B82,'Inhaler properties'!$L$3:$V$28,3,0),"")</f>
        <v/>
      </c>
      <c r="J82" s="183" t="str">
        <f t="shared" si="6"/>
        <v/>
      </c>
      <c r="K82" s="928" t="str">
        <f>IFERROR((VLOOKUP(B82,'Inhaler properties'!$L$3:$U$28,9,0)),"")</f>
        <v/>
      </c>
      <c r="L82" s="183" t="str">
        <f>IFERROR(((J82*VLOOKUP(I82,'Inhaler properties'!$A$21:$B$24,2,0))/1000),"")</f>
        <v/>
      </c>
      <c r="M82" s="998" t="str">
        <f t="shared" si="7"/>
        <v/>
      </c>
      <c r="N82" s="999" t="str">
        <f t="shared" si="8"/>
        <v/>
      </c>
      <c r="O82" s="1499" t="s">
        <v>192</v>
      </c>
      <c r="P82" s="217" t="str">
        <f>IFERROR((VLOOKUP(B82,'Inhaler properties'!$L$2:$Y$28,12,0)),"")</f>
        <v/>
      </c>
      <c r="Q82" s="195" t="str">
        <f>IFERROR((VLOOKUP(B82,'Inhaler properties'!$L$2:$Y$28,13,0)),"")</f>
        <v/>
      </c>
    </row>
    <row r="83" spans="1:17" ht="30" customHeight="1" x14ac:dyDescent="0.35">
      <c r="A83" s="898"/>
      <c r="B83" s="579"/>
      <c r="C83" s="1102"/>
      <c r="D83" s="993"/>
      <c r="E83" s="993"/>
      <c r="F83" s="1192"/>
      <c r="G83" s="1488" t="str">
        <f>IFERROR(VLOOKUP(B83,'Inhaler properties'!$L$3:$V$28,4,0),"")</f>
        <v/>
      </c>
      <c r="H83" s="165" t="str">
        <f>IFERROR(VLOOKUP(B83,'Inhaler properties'!$L$3:$V$28,2,0),"")</f>
        <v/>
      </c>
      <c r="I83" s="165" t="str">
        <f>IFERROR(VLOOKUP(B83,'Inhaler properties'!$L$3:$V$28,3,0),"")</f>
        <v/>
      </c>
      <c r="J83" s="183" t="str">
        <f t="shared" si="6"/>
        <v/>
      </c>
      <c r="K83" s="928" t="str">
        <f>IFERROR((VLOOKUP(B83,'Inhaler properties'!$L$3:$U$28,9,0)),"")</f>
        <v/>
      </c>
      <c r="L83" s="183" t="str">
        <f>IFERROR(((J83*VLOOKUP(I83,'Inhaler properties'!$A$21:$B$24,2,0))/1000),"")</f>
        <v/>
      </c>
      <c r="M83" s="998" t="str">
        <f t="shared" si="7"/>
        <v/>
      </c>
      <c r="N83" s="999" t="str">
        <f t="shared" si="8"/>
        <v/>
      </c>
      <c r="O83" s="1499" t="s">
        <v>192</v>
      </c>
      <c r="P83" s="217" t="str">
        <f>IFERROR((VLOOKUP(B83,'Inhaler properties'!$L$2:$Y$28,12,0)),"")</f>
        <v/>
      </c>
      <c r="Q83" s="195" t="str">
        <f>IFERROR((VLOOKUP(B83,'Inhaler properties'!$L$2:$Y$28,13,0)),"")</f>
        <v/>
      </c>
    </row>
    <row r="84" spans="1:17" ht="30" customHeight="1" x14ac:dyDescent="0.35">
      <c r="A84" s="898"/>
      <c r="B84" s="579"/>
      <c r="C84" s="1102"/>
      <c r="D84" s="993"/>
      <c r="E84" s="993"/>
      <c r="F84" s="1192"/>
      <c r="G84" s="1488" t="str">
        <f>IFERROR(VLOOKUP(B84,'Inhaler properties'!$L$3:$V$28,4,0),"")</f>
        <v/>
      </c>
      <c r="H84" s="165" t="str">
        <f>IFERROR(VLOOKUP(B84,'Inhaler properties'!$L$3:$V$28,2,0),"")</f>
        <v/>
      </c>
      <c r="I84" s="165" t="str">
        <f>IFERROR(VLOOKUP(B84,'Inhaler properties'!$L$3:$V$28,3,0),"")</f>
        <v/>
      </c>
      <c r="J84" s="183" t="str">
        <f t="shared" si="6"/>
        <v/>
      </c>
      <c r="K84" s="928" t="str">
        <f>IFERROR((VLOOKUP(B84,'Inhaler properties'!$L$3:$U$28,9,0)),"")</f>
        <v/>
      </c>
      <c r="L84" s="183" t="str">
        <f>IFERROR(((J84*VLOOKUP(I84,'Inhaler properties'!$A$21:$B$24,2,0))/1000),"")</f>
        <v/>
      </c>
      <c r="M84" s="998" t="str">
        <f t="shared" si="7"/>
        <v/>
      </c>
      <c r="N84" s="999" t="str">
        <f t="shared" si="8"/>
        <v/>
      </c>
      <c r="O84" s="1499" t="s">
        <v>192</v>
      </c>
      <c r="P84" s="217" t="str">
        <f>IFERROR((VLOOKUP(B84,'Inhaler properties'!$L$2:$Y$28,12,0)),"")</f>
        <v/>
      </c>
      <c r="Q84" s="195" t="str">
        <f>IFERROR((VLOOKUP(B84,'Inhaler properties'!$L$2:$Y$28,13,0)),"")</f>
        <v/>
      </c>
    </row>
    <row r="85" spans="1:17" ht="30" customHeight="1" x14ac:dyDescent="0.35">
      <c r="A85" s="898"/>
      <c r="B85" s="579"/>
      <c r="C85" s="1102"/>
      <c r="D85" s="993"/>
      <c r="E85" s="993"/>
      <c r="F85" s="1192"/>
      <c r="G85" s="1488" t="str">
        <f>IFERROR(VLOOKUP(B85,'Inhaler properties'!$L$3:$V$28,4,0),"")</f>
        <v/>
      </c>
      <c r="H85" s="165" t="str">
        <f>IFERROR(VLOOKUP(B85,'Inhaler properties'!$L$3:$V$28,2,0),"")</f>
        <v/>
      </c>
      <c r="I85" s="165" t="str">
        <f>IFERROR(VLOOKUP(B85,'Inhaler properties'!$L$3:$V$28,3,0),"")</f>
        <v/>
      </c>
      <c r="J85" s="183" t="str">
        <f t="shared" si="6"/>
        <v/>
      </c>
      <c r="K85" s="928" t="str">
        <f>IFERROR((VLOOKUP(B85,'Inhaler properties'!$L$3:$U$28,9,0)),"")</f>
        <v/>
      </c>
      <c r="L85" s="183" t="str">
        <f>IFERROR(((J85*VLOOKUP(I85,'Inhaler properties'!$A$21:$B$24,2,0))/1000),"")</f>
        <v/>
      </c>
      <c r="M85" s="998" t="str">
        <f t="shared" si="7"/>
        <v/>
      </c>
      <c r="N85" s="999" t="str">
        <f t="shared" si="8"/>
        <v/>
      </c>
      <c r="O85" s="1499" t="s">
        <v>192</v>
      </c>
      <c r="P85" s="217" t="str">
        <f>IFERROR((VLOOKUP(B85,'Inhaler properties'!$L$2:$Y$28,12,0)),"")</f>
        <v/>
      </c>
      <c r="Q85" s="195" t="str">
        <f>IFERROR((VLOOKUP(B85,'Inhaler properties'!$L$2:$Y$28,13,0)),"")</f>
        <v/>
      </c>
    </row>
    <row r="86" spans="1:17" ht="30" customHeight="1" x14ac:dyDescent="0.35">
      <c r="A86" s="898"/>
      <c r="B86" s="579"/>
      <c r="C86" s="1102"/>
      <c r="D86" s="993"/>
      <c r="E86" s="993"/>
      <c r="F86" s="1192"/>
      <c r="G86" s="1488" t="str">
        <f>IFERROR(VLOOKUP(B86,'Inhaler properties'!$L$3:$V$28,4,0),"")</f>
        <v/>
      </c>
      <c r="H86" s="165" t="str">
        <f>IFERROR(VLOOKUP(B86,'Inhaler properties'!$L$3:$V$28,2,0),"")</f>
        <v/>
      </c>
      <c r="I86" s="165" t="str">
        <f>IFERROR(VLOOKUP(B86,'Inhaler properties'!$L$3:$V$28,3,0),"")</f>
        <v/>
      </c>
      <c r="J86" s="183" t="str">
        <f t="shared" si="6"/>
        <v/>
      </c>
      <c r="K86" s="928" t="str">
        <f>IFERROR((VLOOKUP(B86,'Inhaler properties'!$L$3:$U$28,9,0)),"")</f>
        <v/>
      </c>
      <c r="L86" s="183" t="str">
        <f>IFERROR(((J86*VLOOKUP(I86,'Inhaler properties'!$A$21:$B$24,2,0))/1000),"")</f>
        <v/>
      </c>
      <c r="M86" s="998" t="str">
        <f t="shared" si="7"/>
        <v/>
      </c>
      <c r="N86" s="999" t="str">
        <f t="shared" si="8"/>
        <v/>
      </c>
      <c r="O86" s="1499" t="s">
        <v>192</v>
      </c>
      <c r="P86" s="217" t="str">
        <f>IFERROR((VLOOKUP(B86,'Inhaler properties'!$L$2:$Y$28,12,0)),"")</f>
        <v/>
      </c>
      <c r="Q86" s="195" t="str">
        <f>IFERROR((VLOOKUP(B86,'Inhaler properties'!$L$2:$Y$28,13,0)),"")</f>
        <v/>
      </c>
    </row>
    <row r="87" spans="1:17" ht="30" customHeight="1" x14ac:dyDescent="0.35">
      <c r="A87" s="898"/>
      <c r="B87" s="579"/>
      <c r="C87" s="1102"/>
      <c r="D87" s="993"/>
      <c r="E87" s="993"/>
      <c r="F87" s="1192"/>
      <c r="G87" s="1488" t="str">
        <f>IFERROR(VLOOKUP(B87,'Inhaler properties'!$L$3:$V$28,4,0),"")</f>
        <v/>
      </c>
      <c r="H87" s="165" t="str">
        <f>IFERROR(VLOOKUP(B87,'Inhaler properties'!$L$3:$V$28,2,0),"")</f>
        <v/>
      </c>
      <c r="I87" s="165" t="str">
        <f>IFERROR(VLOOKUP(B87,'Inhaler properties'!$L$3:$V$28,3,0),"")</f>
        <v/>
      </c>
      <c r="J87" s="183" t="str">
        <f t="shared" si="6"/>
        <v/>
      </c>
      <c r="K87" s="928" t="str">
        <f>IFERROR((VLOOKUP(B87,'Inhaler properties'!$L$3:$U$28,9,0)),"")</f>
        <v/>
      </c>
      <c r="L87" s="183" t="str">
        <f>IFERROR(((J87*VLOOKUP(I87,'Inhaler properties'!$A$21:$B$24,2,0))/1000),"")</f>
        <v/>
      </c>
      <c r="M87" s="998" t="str">
        <f t="shared" si="7"/>
        <v/>
      </c>
      <c r="N87" s="999" t="str">
        <f t="shared" si="8"/>
        <v/>
      </c>
      <c r="O87" s="1499" t="s">
        <v>192</v>
      </c>
      <c r="P87" s="217" t="str">
        <f>IFERROR((VLOOKUP(B87,'Inhaler properties'!$L$2:$Y$28,12,0)),"")</f>
        <v/>
      </c>
      <c r="Q87" s="195" t="str">
        <f>IFERROR((VLOOKUP(B87,'Inhaler properties'!$L$2:$Y$28,13,0)),"")</f>
        <v/>
      </c>
    </row>
    <row r="88" spans="1:17" ht="30" customHeight="1" x14ac:dyDescent="0.35">
      <c r="A88" s="898"/>
      <c r="B88" s="579"/>
      <c r="C88" s="1102"/>
      <c r="D88" s="993"/>
      <c r="E88" s="993"/>
      <c r="F88" s="1192"/>
      <c r="G88" s="1488" t="str">
        <f>IFERROR(VLOOKUP(B88,'Inhaler properties'!$L$3:$V$28,4,0),"")</f>
        <v/>
      </c>
      <c r="H88" s="165" t="str">
        <f>IFERROR(VLOOKUP(B88,'Inhaler properties'!$L$3:$V$28,2,0),"")</f>
        <v/>
      </c>
      <c r="I88" s="165" t="str">
        <f>IFERROR(VLOOKUP(B88,'Inhaler properties'!$L$3:$V$28,3,0),"")</f>
        <v/>
      </c>
      <c r="J88" s="183" t="str">
        <f t="shared" si="6"/>
        <v/>
      </c>
      <c r="K88" s="928" t="str">
        <f>IFERROR((VLOOKUP(B88,'Inhaler properties'!$L$3:$U$28,9,0)),"")</f>
        <v/>
      </c>
      <c r="L88" s="183" t="str">
        <f>IFERROR(((J88*VLOOKUP(I88,'Inhaler properties'!$A$21:$B$24,2,0))/1000),"")</f>
        <v/>
      </c>
      <c r="M88" s="998" t="str">
        <f t="shared" si="7"/>
        <v/>
      </c>
      <c r="N88" s="999" t="str">
        <f t="shared" si="8"/>
        <v/>
      </c>
      <c r="O88" s="1499" t="s">
        <v>192</v>
      </c>
      <c r="P88" s="217" t="str">
        <f>IFERROR((VLOOKUP(B88,'Inhaler properties'!$L$2:$Y$28,12,0)),"")</f>
        <v/>
      </c>
      <c r="Q88" s="195" t="str">
        <f>IFERROR((VLOOKUP(B88,'Inhaler properties'!$L$2:$Y$28,13,0)),"")</f>
        <v/>
      </c>
    </row>
    <row r="89" spans="1:17" ht="30" customHeight="1" x14ac:dyDescent="0.35">
      <c r="A89" s="898"/>
      <c r="B89" s="579"/>
      <c r="C89" s="1102"/>
      <c r="D89" s="993"/>
      <c r="E89" s="993"/>
      <c r="F89" s="1192"/>
      <c r="G89" s="1488" t="str">
        <f>IFERROR(VLOOKUP(B89,'Inhaler properties'!$L$3:$V$28,4,0),"")</f>
        <v/>
      </c>
      <c r="H89" s="165" t="str">
        <f>IFERROR(VLOOKUP(B89,'Inhaler properties'!$L$3:$V$28,2,0),"")</f>
        <v/>
      </c>
      <c r="I89" s="165" t="str">
        <f>IFERROR(VLOOKUP(B89,'Inhaler properties'!$L$3:$V$28,3,0),"")</f>
        <v/>
      </c>
      <c r="J89" s="183" t="str">
        <f t="shared" si="6"/>
        <v/>
      </c>
      <c r="K89" s="928" t="str">
        <f>IFERROR((VLOOKUP(B89,'Inhaler properties'!$L$3:$U$28,9,0)),"")</f>
        <v/>
      </c>
      <c r="L89" s="183" t="str">
        <f>IFERROR(((J89*VLOOKUP(I89,'Inhaler properties'!$A$21:$B$24,2,0))/1000),"")</f>
        <v/>
      </c>
      <c r="M89" s="998" t="str">
        <f t="shared" si="7"/>
        <v/>
      </c>
      <c r="N89" s="999" t="str">
        <f t="shared" si="8"/>
        <v/>
      </c>
      <c r="O89" s="1499" t="s">
        <v>192</v>
      </c>
      <c r="P89" s="217" t="str">
        <f>IFERROR((VLOOKUP(B89,'Inhaler properties'!$L$2:$Y$28,12,0)),"")</f>
        <v/>
      </c>
      <c r="Q89" s="195" t="str">
        <f>IFERROR((VLOOKUP(B89,'Inhaler properties'!$L$2:$Y$28,13,0)),"")</f>
        <v/>
      </c>
    </row>
    <row r="90" spans="1:17" ht="30" customHeight="1" x14ac:dyDescent="0.35">
      <c r="A90" s="898"/>
      <c r="B90" s="579"/>
      <c r="C90" s="1102"/>
      <c r="D90" s="993"/>
      <c r="E90" s="993"/>
      <c r="F90" s="1192"/>
      <c r="G90" s="1488" t="str">
        <f>IFERROR(VLOOKUP(B90,'Inhaler properties'!$L$3:$V$28,4,0),"")</f>
        <v/>
      </c>
      <c r="H90" s="165" t="str">
        <f>IFERROR(VLOOKUP(B90,'Inhaler properties'!$L$3:$V$28,2,0),"")</f>
        <v/>
      </c>
      <c r="I90" s="165" t="str">
        <f>IFERROR(VLOOKUP(B90,'Inhaler properties'!$L$3:$V$28,3,0),"")</f>
        <v/>
      </c>
      <c r="J90" s="183" t="str">
        <f t="shared" si="6"/>
        <v/>
      </c>
      <c r="K90" s="928" t="str">
        <f>IFERROR((VLOOKUP(B90,'Inhaler properties'!$L$3:$U$28,9,0)),"")</f>
        <v/>
      </c>
      <c r="L90" s="183" t="str">
        <f>IFERROR(((J90*VLOOKUP(I90,'Inhaler properties'!$A$21:$B$24,2,0))/1000),"")</f>
        <v/>
      </c>
      <c r="M90" s="998" t="str">
        <f t="shared" si="7"/>
        <v/>
      </c>
      <c r="N90" s="999" t="str">
        <f t="shared" si="8"/>
        <v/>
      </c>
      <c r="O90" s="1499" t="s">
        <v>192</v>
      </c>
      <c r="P90" s="217" t="str">
        <f>IFERROR((VLOOKUP(B90,'Inhaler properties'!$L$2:$Y$28,12,0)),"")</f>
        <v/>
      </c>
      <c r="Q90" s="195" t="str">
        <f>IFERROR((VLOOKUP(B90,'Inhaler properties'!$L$2:$Y$28,13,0)),"")</f>
        <v/>
      </c>
    </row>
    <row r="91" spans="1:17" ht="30" customHeight="1" x14ac:dyDescent="0.35">
      <c r="A91" s="898"/>
      <c r="B91" s="579"/>
      <c r="C91" s="1102"/>
      <c r="D91" s="993"/>
      <c r="E91" s="993"/>
      <c r="F91" s="1192"/>
      <c r="G91" s="1488" t="str">
        <f>IFERROR(VLOOKUP(B91,'Inhaler properties'!$L$3:$V$28,4,0),"")</f>
        <v/>
      </c>
      <c r="H91" s="165" t="str">
        <f>IFERROR(VLOOKUP(B91,'Inhaler properties'!$L$3:$V$28,2,0),"")</f>
        <v/>
      </c>
      <c r="I91" s="165" t="str">
        <f>IFERROR(VLOOKUP(B91,'Inhaler properties'!$L$3:$V$28,3,0),"")</f>
        <v/>
      </c>
      <c r="J91" s="183" t="str">
        <f t="shared" si="6"/>
        <v/>
      </c>
      <c r="K91" s="928" t="str">
        <f>IFERROR((VLOOKUP(B91,'Inhaler properties'!$L$3:$U$28,9,0)),"")</f>
        <v/>
      </c>
      <c r="L91" s="183" t="str">
        <f>IFERROR(((J91*VLOOKUP(I91,'Inhaler properties'!$A$21:$B$24,2,0))/1000),"")</f>
        <v/>
      </c>
      <c r="M91" s="998" t="str">
        <f t="shared" si="7"/>
        <v/>
      </c>
      <c r="N91" s="999" t="str">
        <f t="shared" si="8"/>
        <v/>
      </c>
      <c r="O91" s="1499" t="s">
        <v>192</v>
      </c>
      <c r="P91" s="217" t="str">
        <f>IFERROR((VLOOKUP(B91,'Inhaler properties'!$L$2:$Y$28,12,0)),"")</f>
        <v/>
      </c>
      <c r="Q91" s="195" t="str">
        <f>IFERROR((VLOOKUP(B91,'Inhaler properties'!$L$2:$Y$28,13,0)),"")</f>
        <v/>
      </c>
    </row>
    <row r="92" spans="1:17" ht="30" customHeight="1" x14ac:dyDescent="0.35">
      <c r="A92" s="898"/>
      <c r="B92" s="579"/>
      <c r="C92" s="1102"/>
      <c r="D92" s="993"/>
      <c r="E92" s="993"/>
      <c r="F92" s="1192"/>
      <c r="G92" s="1488" t="str">
        <f>IFERROR(VLOOKUP(B92,'Inhaler properties'!$L$3:$V$28,4,0),"")</f>
        <v/>
      </c>
      <c r="H92" s="165" t="str">
        <f>IFERROR(VLOOKUP(B92,'Inhaler properties'!$L$3:$V$28,2,0),"")</f>
        <v/>
      </c>
      <c r="I92" s="165" t="str">
        <f>IFERROR(VLOOKUP(B92,'Inhaler properties'!$L$3:$V$28,3,0),"")</f>
        <v/>
      </c>
      <c r="J92" s="183" t="str">
        <f t="shared" si="6"/>
        <v/>
      </c>
      <c r="K92" s="928" t="str">
        <f>IFERROR((VLOOKUP(B92,'Inhaler properties'!$L$3:$U$28,9,0)),"")</f>
        <v/>
      </c>
      <c r="L92" s="183" t="str">
        <f>IFERROR(((J92*VLOOKUP(I92,'Inhaler properties'!$A$21:$B$24,2,0))/1000),"")</f>
        <v/>
      </c>
      <c r="M92" s="998" t="str">
        <f t="shared" si="7"/>
        <v/>
      </c>
      <c r="N92" s="999" t="str">
        <f t="shared" si="8"/>
        <v/>
      </c>
      <c r="O92" s="1499" t="s">
        <v>192</v>
      </c>
      <c r="P92" s="217" t="str">
        <f>IFERROR((VLOOKUP(B92,'Inhaler properties'!$L$2:$Y$28,12,0)),"")</f>
        <v/>
      </c>
      <c r="Q92" s="195" t="str">
        <f>IFERROR((VLOOKUP(B92,'Inhaler properties'!$L$2:$Y$28,13,0)),"")</f>
        <v/>
      </c>
    </row>
    <row r="93" spans="1:17" ht="30" customHeight="1" x14ac:dyDescent="0.35">
      <c r="A93" s="898"/>
      <c r="B93" s="579"/>
      <c r="C93" s="1102"/>
      <c r="D93" s="993"/>
      <c r="E93" s="993"/>
      <c r="F93" s="1192"/>
      <c r="G93" s="1488" t="str">
        <f>IFERROR(VLOOKUP(B93,'Inhaler properties'!$L$3:$V$28,4,0),"")</f>
        <v/>
      </c>
      <c r="H93" s="165" t="str">
        <f>IFERROR(VLOOKUP(B93,'Inhaler properties'!$L$3:$V$28,2,0),"")</f>
        <v/>
      </c>
      <c r="I93" s="165" t="str">
        <f>IFERROR(VLOOKUP(B93,'Inhaler properties'!$L$3:$V$28,3,0),"")</f>
        <v/>
      </c>
      <c r="J93" s="183" t="str">
        <f t="shared" si="6"/>
        <v/>
      </c>
      <c r="K93" s="928" t="str">
        <f>IFERROR((VLOOKUP(B93,'Inhaler properties'!$L$3:$U$28,9,0)),"")</f>
        <v/>
      </c>
      <c r="L93" s="183" t="str">
        <f>IFERROR(((J93*VLOOKUP(I93,'Inhaler properties'!$A$21:$B$24,2,0))/1000),"")</f>
        <v/>
      </c>
      <c r="M93" s="998" t="str">
        <f t="shared" si="7"/>
        <v/>
      </c>
      <c r="N93" s="999" t="str">
        <f t="shared" si="8"/>
        <v/>
      </c>
      <c r="O93" s="1499" t="s">
        <v>192</v>
      </c>
      <c r="P93" s="217" t="str">
        <f>IFERROR((VLOOKUP(B93,'Inhaler properties'!$L$2:$Y$28,12,0)),"")</f>
        <v/>
      </c>
      <c r="Q93" s="195" t="str">
        <f>IFERROR((VLOOKUP(B93,'Inhaler properties'!$L$2:$Y$28,13,0)),"")</f>
        <v/>
      </c>
    </row>
    <row r="94" spans="1:17" ht="30" customHeight="1" x14ac:dyDescent="0.35">
      <c r="A94" s="898"/>
      <c r="B94" s="579"/>
      <c r="C94" s="1102"/>
      <c r="D94" s="993"/>
      <c r="E94" s="993"/>
      <c r="F94" s="1192"/>
      <c r="G94" s="1488" t="str">
        <f>IFERROR(VLOOKUP(B94,'Inhaler properties'!$L$3:$V$28,4,0),"")</f>
        <v/>
      </c>
      <c r="H94" s="165" t="str">
        <f>IFERROR(VLOOKUP(B94,'Inhaler properties'!$L$3:$V$28,2,0),"")</f>
        <v/>
      </c>
      <c r="I94" s="165" t="str">
        <f>IFERROR(VLOOKUP(B94,'Inhaler properties'!$L$3:$V$28,3,0),"")</f>
        <v/>
      </c>
      <c r="J94" s="183" t="str">
        <f t="shared" si="6"/>
        <v/>
      </c>
      <c r="K94" s="928" t="str">
        <f>IFERROR((VLOOKUP(B94,'Inhaler properties'!$L$3:$U$28,9,0)),"")</f>
        <v/>
      </c>
      <c r="L94" s="183" t="str">
        <f>IFERROR(((J94*VLOOKUP(I94,'Inhaler properties'!$A$21:$B$24,2,0))/1000),"")</f>
        <v/>
      </c>
      <c r="M94" s="998" t="str">
        <f t="shared" si="7"/>
        <v/>
      </c>
      <c r="N94" s="999" t="str">
        <f t="shared" si="8"/>
        <v/>
      </c>
      <c r="O94" s="1499" t="s">
        <v>192</v>
      </c>
      <c r="P94" s="217" t="str">
        <f>IFERROR((VLOOKUP(B94,'Inhaler properties'!$L$2:$Y$28,12,0)),"")</f>
        <v/>
      </c>
      <c r="Q94" s="195" t="str">
        <f>IFERROR((VLOOKUP(B94,'Inhaler properties'!$L$2:$Y$28,13,0)),"")</f>
        <v/>
      </c>
    </row>
    <row r="95" spans="1:17" ht="30" customHeight="1" x14ac:dyDescent="0.35">
      <c r="A95" s="898"/>
      <c r="B95" s="579"/>
      <c r="C95" s="1102"/>
      <c r="D95" s="993"/>
      <c r="E95" s="993"/>
      <c r="F95" s="1192"/>
      <c r="G95" s="1488" t="str">
        <f>IFERROR(VLOOKUP(B95,'Inhaler properties'!$L$3:$V$28,4,0),"")</f>
        <v/>
      </c>
      <c r="H95" s="165" t="str">
        <f>IFERROR(VLOOKUP(B95,'Inhaler properties'!$L$3:$V$28,2,0),"")</f>
        <v/>
      </c>
      <c r="I95" s="165" t="str">
        <f>IFERROR(VLOOKUP(B95,'Inhaler properties'!$L$3:$V$28,3,0),"")</f>
        <v/>
      </c>
      <c r="J95" s="183" t="str">
        <f t="shared" si="6"/>
        <v/>
      </c>
      <c r="K95" s="928" t="str">
        <f>IFERROR((VLOOKUP(B95,'Inhaler properties'!$L$3:$U$28,9,0)),"")</f>
        <v/>
      </c>
      <c r="L95" s="183" t="str">
        <f>IFERROR(((J95*VLOOKUP(I95,'Inhaler properties'!$A$21:$B$24,2,0))/1000),"")</f>
        <v/>
      </c>
      <c r="M95" s="998" t="str">
        <f t="shared" si="7"/>
        <v/>
      </c>
      <c r="N95" s="999" t="str">
        <f t="shared" si="8"/>
        <v/>
      </c>
      <c r="O95" s="1499" t="s">
        <v>192</v>
      </c>
      <c r="P95" s="217" t="str">
        <f>IFERROR((VLOOKUP(B95,'Inhaler properties'!$L$2:$Y$28,12,0)),"")</f>
        <v/>
      </c>
      <c r="Q95" s="195" t="str">
        <f>IFERROR((VLOOKUP(B95,'Inhaler properties'!$L$2:$Y$28,13,0)),"")</f>
        <v/>
      </c>
    </row>
    <row r="96" spans="1:17" ht="30" customHeight="1" x14ac:dyDescent="0.35">
      <c r="A96" s="898"/>
      <c r="B96" s="579"/>
      <c r="C96" s="1102"/>
      <c r="D96" s="993"/>
      <c r="E96" s="993"/>
      <c r="F96" s="1192"/>
      <c r="G96" s="1488" t="str">
        <f>IFERROR(VLOOKUP(B96,'Inhaler properties'!$L$3:$V$28,4,0),"")</f>
        <v/>
      </c>
      <c r="H96" s="165" t="str">
        <f>IFERROR(VLOOKUP(B96,'Inhaler properties'!$L$3:$V$28,2,0),"")</f>
        <v/>
      </c>
      <c r="I96" s="165" t="str">
        <f>IFERROR(VLOOKUP(B96,'Inhaler properties'!$L$3:$V$28,3,0),"")</f>
        <v/>
      </c>
      <c r="J96" s="183" t="str">
        <f t="shared" si="6"/>
        <v/>
      </c>
      <c r="K96" s="928" t="str">
        <f>IFERROR((VLOOKUP(B96,'Inhaler properties'!$L$3:$U$28,9,0)),"")</f>
        <v/>
      </c>
      <c r="L96" s="183" t="str">
        <f>IFERROR(((J96*VLOOKUP(I96,'Inhaler properties'!$A$21:$B$24,2,0))/1000),"")</f>
        <v/>
      </c>
      <c r="M96" s="998" t="str">
        <f t="shared" si="7"/>
        <v/>
      </c>
      <c r="N96" s="999" t="str">
        <f t="shared" si="8"/>
        <v/>
      </c>
      <c r="O96" s="1499" t="s">
        <v>192</v>
      </c>
      <c r="P96" s="217" t="str">
        <f>IFERROR((VLOOKUP(B96,'Inhaler properties'!$L$2:$Y$28,12,0)),"")</f>
        <v/>
      </c>
      <c r="Q96" s="195" t="str">
        <f>IFERROR((VLOOKUP(B96,'Inhaler properties'!$L$2:$Y$28,13,0)),"")</f>
        <v/>
      </c>
    </row>
    <row r="97" spans="1:17" ht="30" customHeight="1" x14ac:dyDescent="0.35">
      <c r="A97" s="898"/>
      <c r="B97" s="579"/>
      <c r="C97" s="1102"/>
      <c r="D97" s="993"/>
      <c r="E97" s="993"/>
      <c r="F97" s="1192"/>
      <c r="G97" s="1488" t="str">
        <f>IFERROR(VLOOKUP(B97,'Inhaler properties'!$L$3:$V$28,4,0),"")</f>
        <v/>
      </c>
      <c r="H97" s="165" t="str">
        <f>IFERROR(VLOOKUP(B97,'Inhaler properties'!$L$3:$V$28,2,0),"")</f>
        <v/>
      </c>
      <c r="I97" s="165" t="str">
        <f>IFERROR(VLOOKUP(B97,'Inhaler properties'!$L$3:$V$28,3,0),"")</f>
        <v/>
      </c>
      <c r="J97" s="183" t="str">
        <f t="shared" si="6"/>
        <v/>
      </c>
      <c r="K97" s="928" t="str">
        <f>IFERROR((VLOOKUP(B97,'Inhaler properties'!$L$3:$U$28,9,0)),"")</f>
        <v/>
      </c>
      <c r="L97" s="183" t="str">
        <f>IFERROR(((J97*VLOOKUP(I97,'Inhaler properties'!$A$21:$B$24,2,0))/1000),"")</f>
        <v/>
      </c>
      <c r="M97" s="998" t="str">
        <f t="shared" si="7"/>
        <v/>
      </c>
      <c r="N97" s="999" t="str">
        <f t="shared" si="8"/>
        <v/>
      </c>
      <c r="O97" s="1499" t="s">
        <v>192</v>
      </c>
      <c r="P97" s="217" t="str">
        <f>IFERROR((VLOOKUP(B97,'Inhaler properties'!$L$2:$Y$28,12,0)),"")</f>
        <v/>
      </c>
      <c r="Q97" s="195" t="str">
        <f>IFERROR((VLOOKUP(B97,'Inhaler properties'!$L$2:$Y$28,13,0)),"")</f>
        <v/>
      </c>
    </row>
    <row r="98" spans="1:17" ht="30" customHeight="1" x14ac:dyDescent="0.35">
      <c r="A98" s="898"/>
      <c r="B98" s="579"/>
      <c r="C98" s="1102"/>
      <c r="D98" s="993"/>
      <c r="E98" s="993"/>
      <c r="F98" s="1192"/>
      <c r="G98" s="1488" t="str">
        <f>IFERROR(VLOOKUP(B98,'Inhaler properties'!$L$3:$V$28,4,0),"")</f>
        <v/>
      </c>
      <c r="H98" s="165" t="str">
        <f>IFERROR(VLOOKUP(B98,'Inhaler properties'!$L$3:$V$28,2,0),"")</f>
        <v/>
      </c>
      <c r="I98" s="165" t="str">
        <f>IFERROR(VLOOKUP(B98,'Inhaler properties'!$L$3:$V$28,3,0),"")</f>
        <v/>
      </c>
      <c r="J98" s="183" t="str">
        <f t="shared" si="6"/>
        <v/>
      </c>
      <c r="K98" s="928" t="str">
        <f>IFERROR((VLOOKUP(B98,'Inhaler properties'!$L$3:$U$28,9,0)),"")</f>
        <v/>
      </c>
      <c r="L98" s="183" t="str">
        <f>IFERROR(((J98*VLOOKUP(I98,'Inhaler properties'!$A$21:$B$24,2,0))/1000),"")</f>
        <v/>
      </c>
      <c r="M98" s="998" t="str">
        <f t="shared" si="7"/>
        <v/>
      </c>
      <c r="N98" s="999" t="str">
        <f t="shared" si="8"/>
        <v/>
      </c>
      <c r="O98" s="1499" t="s">
        <v>192</v>
      </c>
      <c r="P98" s="217" t="str">
        <f>IFERROR((VLOOKUP(B98,'Inhaler properties'!$L$2:$Y$28,12,0)),"")</f>
        <v/>
      </c>
      <c r="Q98" s="195" t="str">
        <f>IFERROR((VLOOKUP(B98,'Inhaler properties'!$L$2:$Y$28,13,0)),"")</f>
        <v/>
      </c>
    </row>
    <row r="99" spans="1:17" ht="30" customHeight="1" x14ac:dyDescent="0.35">
      <c r="A99" s="898"/>
      <c r="B99" s="579"/>
      <c r="C99" s="1102"/>
      <c r="D99" s="993"/>
      <c r="E99" s="993"/>
      <c r="F99" s="1192"/>
      <c r="G99" s="1488" t="str">
        <f>IFERROR(VLOOKUP(B99,'Inhaler properties'!$L$3:$V$28,4,0),"")</f>
        <v/>
      </c>
      <c r="H99" s="165" t="str">
        <f>IFERROR(VLOOKUP(B99,'Inhaler properties'!$L$3:$V$28,2,0),"")</f>
        <v/>
      </c>
      <c r="I99" s="165" t="str">
        <f>IFERROR(VLOOKUP(B99,'Inhaler properties'!$L$3:$V$28,3,0),"")</f>
        <v/>
      </c>
      <c r="J99" s="183" t="str">
        <f t="shared" si="6"/>
        <v/>
      </c>
      <c r="K99" s="928" t="str">
        <f>IFERROR((VLOOKUP(B99,'Inhaler properties'!$L$3:$U$28,9,0)),"")</f>
        <v/>
      </c>
      <c r="L99" s="183" t="str">
        <f>IFERROR(((J99*VLOOKUP(I99,'Inhaler properties'!$A$21:$B$24,2,0))/1000),"")</f>
        <v/>
      </c>
      <c r="M99" s="998" t="str">
        <f t="shared" si="7"/>
        <v/>
      </c>
      <c r="N99" s="999" t="str">
        <f t="shared" si="8"/>
        <v/>
      </c>
      <c r="O99" s="1499" t="s">
        <v>192</v>
      </c>
      <c r="P99" s="217" t="str">
        <f>IFERROR((VLOOKUP(B99,'Inhaler properties'!$L$2:$Y$28,12,0)),"")</f>
        <v/>
      </c>
      <c r="Q99" s="195" t="str">
        <f>IFERROR((VLOOKUP(B99,'Inhaler properties'!$L$2:$Y$28,13,0)),"")</f>
        <v/>
      </c>
    </row>
    <row r="100" spans="1:17" ht="30" customHeight="1" x14ac:dyDescent="0.35">
      <c r="A100" s="898"/>
      <c r="B100" s="579"/>
      <c r="C100" s="1102"/>
      <c r="D100" s="993"/>
      <c r="E100" s="993"/>
      <c r="F100" s="1192"/>
      <c r="G100" s="1488" t="str">
        <f>IFERROR(VLOOKUP(B100,'Inhaler properties'!$L$3:$V$28,4,0),"")</f>
        <v/>
      </c>
      <c r="H100" s="165" t="str">
        <f>IFERROR(VLOOKUP(B100,'Inhaler properties'!$L$3:$V$28,2,0),"")</f>
        <v/>
      </c>
      <c r="I100" s="165" t="str">
        <f>IFERROR(VLOOKUP(B100,'Inhaler properties'!$L$3:$V$28,3,0),"")</f>
        <v/>
      </c>
      <c r="J100" s="183" t="str">
        <f t="shared" si="6"/>
        <v/>
      </c>
      <c r="K100" s="928" t="str">
        <f>IFERROR((VLOOKUP(B100,'Inhaler properties'!$L$3:$U$28,9,0)),"")</f>
        <v/>
      </c>
      <c r="L100" s="183" t="str">
        <f>IFERROR(((J100*VLOOKUP(I100,'Inhaler properties'!$A$21:$B$24,2,0))/1000),"")</f>
        <v/>
      </c>
      <c r="M100" s="998" t="str">
        <f t="shared" si="7"/>
        <v/>
      </c>
      <c r="N100" s="999" t="str">
        <f t="shared" si="8"/>
        <v/>
      </c>
      <c r="O100" s="1499" t="s">
        <v>192</v>
      </c>
      <c r="P100" s="217" t="str">
        <f>IFERROR((VLOOKUP(B100,'Inhaler properties'!$L$2:$Y$28,12,0)),"")</f>
        <v/>
      </c>
      <c r="Q100" s="195" t="str">
        <f>IFERROR((VLOOKUP(B100,'Inhaler properties'!$L$2:$Y$28,13,0)),"")</f>
        <v/>
      </c>
    </row>
    <row r="101" spans="1:17" ht="30" customHeight="1" x14ac:dyDescent="0.35">
      <c r="A101" s="898"/>
      <c r="B101" s="579"/>
      <c r="C101" s="1102"/>
      <c r="D101" s="993"/>
      <c r="E101" s="993"/>
      <c r="F101" s="1192"/>
      <c r="G101" s="1488" t="str">
        <f>IFERROR(VLOOKUP(B101,'Inhaler properties'!$L$3:$V$28,4,0),"")</f>
        <v/>
      </c>
      <c r="H101" s="165" t="str">
        <f>IFERROR(VLOOKUP(B101,'Inhaler properties'!$L$3:$V$28,2,0),"")</f>
        <v/>
      </c>
      <c r="I101" s="165" t="str">
        <f>IFERROR(VLOOKUP(B101,'Inhaler properties'!$L$3:$V$28,3,0),"")</f>
        <v/>
      </c>
      <c r="J101" s="183" t="str">
        <f t="shared" si="6"/>
        <v/>
      </c>
      <c r="K101" s="928" t="str">
        <f>IFERROR((VLOOKUP(B101,'Inhaler properties'!$L$3:$U$28,9,0)),"")</f>
        <v/>
      </c>
      <c r="L101" s="183" t="str">
        <f>IFERROR(((J101*VLOOKUP(I101,'Inhaler properties'!$A$21:$B$24,2,0))/1000),"")</f>
        <v/>
      </c>
      <c r="M101" s="998" t="str">
        <f t="shared" si="7"/>
        <v/>
      </c>
      <c r="N101" s="999" t="str">
        <f t="shared" si="8"/>
        <v/>
      </c>
      <c r="O101" s="1499" t="s">
        <v>192</v>
      </c>
      <c r="P101" s="217" t="str">
        <f>IFERROR((VLOOKUP(B101,'Inhaler properties'!$L$2:$Y$28,12,0)),"")</f>
        <v/>
      </c>
      <c r="Q101" s="195" t="str">
        <f>IFERROR((VLOOKUP(B101,'Inhaler properties'!$L$2:$Y$28,13,0)),"")</f>
        <v/>
      </c>
    </row>
    <row r="102" spans="1:17" ht="30" customHeight="1" x14ac:dyDescent="0.35">
      <c r="A102" s="898"/>
      <c r="B102" s="579"/>
      <c r="C102" s="1102"/>
      <c r="D102" s="993"/>
      <c r="E102" s="993"/>
      <c r="F102" s="1192"/>
      <c r="G102" s="1488" t="str">
        <f>IFERROR(VLOOKUP(B102,'Inhaler properties'!$L$3:$V$28,4,0),"")</f>
        <v/>
      </c>
      <c r="H102" s="165" t="str">
        <f>IFERROR(VLOOKUP(B102,'Inhaler properties'!$L$3:$V$28,2,0),"")</f>
        <v/>
      </c>
      <c r="I102" s="165" t="str">
        <f>IFERROR(VLOOKUP(B102,'Inhaler properties'!$L$3:$V$28,3,0),"")</f>
        <v/>
      </c>
      <c r="J102" s="183" t="str">
        <f t="shared" si="6"/>
        <v/>
      </c>
      <c r="K102" s="928" t="str">
        <f>IFERROR((VLOOKUP(B102,'Inhaler properties'!$L$3:$U$28,9,0)),"")</f>
        <v/>
      </c>
      <c r="L102" s="183" t="str">
        <f>IFERROR(((J102*VLOOKUP(I102,'Inhaler properties'!$A$21:$B$24,2,0))/1000),"")</f>
        <v/>
      </c>
      <c r="M102" s="998" t="str">
        <f t="shared" si="7"/>
        <v/>
      </c>
      <c r="N102" s="999" t="str">
        <f t="shared" si="8"/>
        <v/>
      </c>
      <c r="O102" s="1499" t="s">
        <v>192</v>
      </c>
      <c r="P102" s="217" t="str">
        <f>IFERROR((VLOOKUP(B102,'Inhaler properties'!$L$2:$Y$28,12,0)),"")</f>
        <v/>
      </c>
      <c r="Q102" s="195" t="str">
        <f>IFERROR((VLOOKUP(B102,'Inhaler properties'!$L$2:$Y$28,13,0)),"")</f>
        <v/>
      </c>
    </row>
    <row r="103" spans="1:17" ht="30" customHeight="1" x14ac:dyDescent="0.35">
      <c r="A103" s="898"/>
      <c r="B103" s="579"/>
      <c r="C103" s="1102"/>
      <c r="D103" s="993"/>
      <c r="E103" s="993"/>
      <c r="F103" s="1192"/>
      <c r="G103" s="1488" t="str">
        <f>IFERROR(VLOOKUP(B103,'Inhaler properties'!$L$3:$V$28,4,0),"")</f>
        <v/>
      </c>
      <c r="H103" s="165" t="str">
        <f>IFERROR(VLOOKUP(B103,'Inhaler properties'!$L$3:$V$28,2,0),"")</f>
        <v/>
      </c>
      <c r="I103" s="165" t="str">
        <f>IFERROR(VLOOKUP(B103,'Inhaler properties'!$L$3:$V$28,3,0),"")</f>
        <v/>
      </c>
      <c r="J103" s="183" t="str">
        <f t="shared" si="6"/>
        <v/>
      </c>
      <c r="K103" s="928" t="str">
        <f>IFERROR((VLOOKUP(B103,'Inhaler properties'!$L$3:$U$28,9,0)),"")</f>
        <v/>
      </c>
      <c r="L103" s="183" t="str">
        <f>IFERROR(((J103*VLOOKUP(I103,'Inhaler properties'!$A$21:$B$24,2,0))/1000),"")</f>
        <v/>
      </c>
      <c r="M103" s="998" t="str">
        <f t="shared" si="7"/>
        <v/>
      </c>
      <c r="N103" s="999" t="str">
        <f t="shared" si="8"/>
        <v/>
      </c>
      <c r="O103" s="1499" t="s">
        <v>192</v>
      </c>
      <c r="P103" s="217" t="str">
        <f>IFERROR((VLOOKUP(B103,'Inhaler properties'!$L$2:$Y$28,12,0)),"")</f>
        <v/>
      </c>
      <c r="Q103" s="195" t="str">
        <f>IFERROR((VLOOKUP(B103,'Inhaler properties'!$L$2:$Y$28,13,0)),"")</f>
        <v/>
      </c>
    </row>
    <row r="104" spans="1:17" ht="30" customHeight="1" x14ac:dyDescent="0.35">
      <c r="A104" s="898"/>
      <c r="B104" s="579"/>
      <c r="C104" s="1102"/>
      <c r="D104" s="993"/>
      <c r="E104" s="993"/>
      <c r="F104" s="1192"/>
      <c r="G104" s="1488" t="str">
        <f>IFERROR(VLOOKUP(B104,'Inhaler properties'!$L$3:$V$28,4,0),"")</f>
        <v/>
      </c>
      <c r="H104" s="165" t="str">
        <f>IFERROR(VLOOKUP(B104,'Inhaler properties'!$L$3:$V$28,2,0),"")</f>
        <v/>
      </c>
      <c r="I104" s="165" t="str">
        <f>IFERROR(VLOOKUP(B104,'Inhaler properties'!$L$3:$V$28,3,0),"")</f>
        <v/>
      </c>
      <c r="J104" s="183" t="str">
        <f t="shared" si="6"/>
        <v/>
      </c>
      <c r="K104" s="928" t="str">
        <f>IFERROR((VLOOKUP(B104,'Inhaler properties'!$L$3:$U$28,9,0)),"")</f>
        <v/>
      </c>
      <c r="L104" s="183" t="str">
        <f>IFERROR(((J104*VLOOKUP(I104,'Inhaler properties'!$A$21:$B$24,2,0))/1000),"")</f>
        <v/>
      </c>
      <c r="M104" s="998" t="str">
        <f t="shared" si="7"/>
        <v/>
      </c>
      <c r="N104" s="999" t="str">
        <f t="shared" si="8"/>
        <v/>
      </c>
      <c r="O104" s="1499" t="s">
        <v>192</v>
      </c>
      <c r="P104" s="217" t="str">
        <f>IFERROR((VLOOKUP(B104,'Inhaler properties'!$L$2:$Y$28,12,0)),"")</f>
        <v/>
      </c>
      <c r="Q104" s="195" t="str">
        <f>IFERROR((VLOOKUP(B104,'Inhaler properties'!$L$2:$Y$28,13,0)),"")</f>
        <v/>
      </c>
    </row>
    <row r="105" spans="1:17" ht="30" customHeight="1" x14ac:dyDescent="0.35">
      <c r="A105" s="898"/>
      <c r="B105" s="579"/>
      <c r="C105" s="1102"/>
      <c r="D105" s="993"/>
      <c r="E105" s="993"/>
      <c r="F105" s="1192"/>
      <c r="G105" s="1488" t="str">
        <f>IFERROR(VLOOKUP(B105,'Inhaler properties'!$L$3:$V$28,4,0),"")</f>
        <v/>
      </c>
      <c r="H105" s="165" t="str">
        <f>IFERROR(VLOOKUP(B105,'Inhaler properties'!$L$3:$V$28,2,0),"")</f>
        <v/>
      </c>
      <c r="I105" s="165" t="str">
        <f>IFERROR(VLOOKUP(B105,'Inhaler properties'!$L$3:$V$28,3,0),"")</f>
        <v/>
      </c>
      <c r="J105" s="183" t="str">
        <f t="shared" si="6"/>
        <v/>
      </c>
      <c r="K105" s="928" t="str">
        <f>IFERROR((VLOOKUP(B105,'Inhaler properties'!$L$3:$U$28,9,0)),"")</f>
        <v/>
      </c>
      <c r="L105" s="183" t="str">
        <f>IFERROR(((J105*VLOOKUP(I105,'Inhaler properties'!$A$21:$B$24,2,0))/1000),"")</f>
        <v/>
      </c>
      <c r="M105" s="998" t="str">
        <f t="shared" si="7"/>
        <v/>
      </c>
      <c r="N105" s="999" t="str">
        <f t="shared" si="8"/>
        <v/>
      </c>
      <c r="O105" s="1499" t="s">
        <v>192</v>
      </c>
      <c r="P105" s="217" t="str">
        <f>IFERROR((VLOOKUP(B105,'Inhaler properties'!$L$2:$Y$28,12,0)),"")</f>
        <v/>
      </c>
      <c r="Q105" s="195" t="str">
        <f>IFERROR((VLOOKUP(B105,'Inhaler properties'!$L$2:$Y$28,13,0)),"")</f>
        <v/>
      </c>
    </row>
    <row r="106" spans="1:17" ht="30" customHeight="1" thickBot="1" x14ac:dyDescent="0.4">
      <c r="A106" s="899"/>
      <c r="B106" s="580"/>
      <c r="C106" s="1219"/>
      <c r="D106" s="994"/>
      <c r="E106" s="994"/>
      <c r="F106" s="1193"/>
      <c r="G106" s="1489" t="str">
        <f>IFERROR(VLOOKUP(B106,'Inhaler properties'!$L$3:$V$28,4,0),"")</f>
        <v/>
      </c>
      <c r="H106" s="182" t="str">
        <f>IFERROR(VLOOKUP(B106,'Inhaler properties'!$L$3:$V$28,2,0),"")</f>
        <v/>
      </c>
      <c r="I106" s="182" t="str">
        <f>IFERROR(VLOOKUP(B106,'Inhaler properties'!$L$3:$V$28,3,0),"")</f>
        <v/>
      </c>
      <c r="J106" s="184" t="str">
        <f t="shared" si="6"/>
        <v/>
      </c>
      <c r="K106" s="995" t="str">
        <f>IFERROR((VLOOKUP(B106,'Inhaler properties'!$L$3:$U$28,9,0)),"")</f>
        <v/>
      </c>
      <c r="L106" s="184" t="str">
        <f>IFERROR(((J106*VLOOKUP(I106,'Inhaler properties'!$A$21:$B$24,2,0))/1000),"")</f>
        <v/>
      </c>
      <c r="M106" s="1000" t="str">
        <f t="shared" si="7"/>
        <v/>
      </c>
      <c r="N106" s="1001" t="str">
        <f t="shared" si="8"/>
        <v/>
      </c>
      <c r="O106" s="1500" t="s">
        <v>192</v>
      </c>
      <c r="P106" s="218" t="str">
        <f>IFERROR((VLOOKUP(B106,'Inhaler properties'!$L$2:$Y$28,12,0)),"")</f>
        <v/>
      </c>
      <c r="Q106" s="196" t="str">
        <f>IFERROR((VLOOKUP(B106,'Inhaler properties'!$L$2:$Y$28,13,0)),"")</f>
        <v/>
      </c>
    </row>
  </sheetData>
  <sheetProtection algorithmName="SHA-512" hashValue="nn/xCVQ6JC9qT8LOPX0jGDfUTf1VRq7RWLeiE+2hbRzFGhFCFpxmMZbMl501M8mfWDg2d06xERmbuC7WUfeb4g==" saltValue="enl6kLOCBgjomxg2vWtlFA==" spinCount="100000" sheet="1" objects="1" scenarios="1"/>
  <protectedRanges>
    <protectedRange sqref="I2" name="Range2"/>
    <protectedRange sqref="A13:F106" name="Range2_2_1_1_1_1"/>
  </protectedRanges>
  <mergeCells count="11">
    <mergeCell ref="M12:N12"/>
    <mergeCell ref="H6:H8"/>
    <mergeCell ref="D7:E8"/>
    <mergeCell ref="A1:B1"/>
    <mergeCell ref="A2:E2"/>
    <mergeCell ref="H2:H4"/>
    <mergeCell ref="A3:E3"/>
    <mergeCell ref="A4:E4"/>
    <mergeCell ref="C1:E1"/>
    <mergeCell ref="I6:Q8"/>
    <mergeCell ref="I2:Q4"/>
  </mergeCells>
  <phoneticPr fontId="10" type="noConversion"/>
  <conditionalFormatting sqref="D13:D106">
    <cfRule type="expression" dxfId="37" priority="1">
      <formula>E13&gt;0</formula>
    </cfRule>
  </conditionalFormatting>
  <conditionalFormatting sqref="E13:E106">
    <cfRule type="expression" dxfId="36" priority="2">
      <formula>D13&gt;0</formula>
    </cfRule>
  </conditionalFormatting>
  <conditionalFormatting sqref="K13:L106">
    <cfRule type="colorScale" priority="5">
      <colorScale>
        <cfvo type="min"/>
        <cfvo type="percentile" val="50"/>
        <cfvo type="max"/>
        <color rgb="FF00B050"/>
        <color rgb="FFFFEB84"/>
        <color rgb="FFFF0000"/>
      </colorScale>
    </cfRule>
  </conditionalFormatting>
  <conditionalFormatting sqref="M13:M106">
    <cfRule type="colorScale" priority="6">
      <colorScale>
        <cfvo type="min"/>
        <cfvo type="percentile" val="50"/>
        <cfvo type="max"/>
        <color rgb="FF00B050"/>
        <color rgb="FFFFEB84"/>
        <color rgb="FFFF0000"/>
      </colorScale>
    </cfRule>
  </conditionalFormatting>
  <conditionalFormatting sqref="M13:N106">
    <cfRule type="cellIs" dxfId="35" priority="3" operator="lessThanOrEqual">
      <formula>0</formula>
    </cfRule>
  </conditionalFormatting>
  <conditionalFormatting sqref="N13:N106">
    <cfRule type="colorScale" priority="4">
      <colorScale>
        <cfvo type="min"/>
        <cfvo type="percentile" val="50"/>
        <cfvo type="max"/>
        <color rgb="FF00B050"/>
        <color rgb="FFFFEB84"/>
        <color rgb="FFFF0000"/>
      </colorScale>
    </cfRule>
  </conditionalFormatting>
  <dataValidations count="2">
    <dataValidation type="whole" allowBlank="1" showInputMessage="1" showErrorMessage="1" errorTitle="Check the number of doses" error="It is very unlikley that an inhaler will have less than 30 or more than 300 doses per device." sqref="C13:C106" xr:uid="{A3F4F5B7-CBC7-4032-92F9-F07E4D88C1A0}">
      <formula1>30</formula1>
      <formula2>300</formula2>
    </dataValidation>
    <dataValidation type="decimal" allowBlank="1" showInputMessage="1" showErrorMessage="1" errorTitle="Number only" error="Enter a number only" sqref="D13:E106" xr:uid="{6676B23A-9DB4-4540-8B25-3E3FB9B3AE9A}">
      <formula1>0</formula1>
      <formula2>10000000000</formula2>
    </dataValidation>
  </dataValidations>
  <hyperlinks>
    <hyperlink ref="C1:E1" r:id="rId1" display="A single pressurised inhaler, if fully used, can release as much greenhouse gas emissions as a small car driven for 290km. One patient may use more than 12 of these devices a year." xr:uid="{58341BDD-1C93-4390-A11F-B073945D4474}"/>
  </hyperlinks>
  <pageMargins left="0.7" right="0.7" top="0.75" bottom="0.75" header="0.3" footer="0.3"/>
  <pageSetup paperSize="9" orientation="portrait" horizontalDpi="360" verticalDpi="360" r:id="rId2"/>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60185B31-BA4D-4162-8AD2-C2307026487F}">
          <x14:formula1>
            <xm:f>Buildings!$B$9:$B$41</xm:f>
          </x14:formula1>
          <xm:sqref>A13:A106</xm:sqref>
        </x14:dataValidation>
        <x14:dataValidation type="list" allowBlank="1" showInputMessage="1" showErrorMessage="1" xr:uid="{9F1BB89C-0211-4553-B53C-B2A9C85F31BD}">
          <x14:formula1>
            <xm:f>'Inhaler properties'!$L$3:$L$28</xm:f>
          </x14:formula1>
          <xm:sqref>B13:B106</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E25E8-27D1-4BDD-8FC4-B15B9ED4CE71}">
  <sheetPr codeName="Sheet10">
    <tabColor rgb="FF00B050"/>
  </sheetPr>
  <dimension ref="A1:S60"/>
  <sheetViews>
    <sheetView topLeftCell="A6" zoomScale="70" zoomScaleNormal="70" workbookViewId="0">
      <selection activeCell="A12" sqref="A12"/>
    </sheetView>
  </sheetViews>
  <sheetFormatPr defaultColWidth="17.26953125" defaultRowHeight="14.5" x14ac:dyDescent="0.35"/>
  <cols>
    <col min="1" max="1" width="35.453125" customWidth="1"/>
    <col min="2" max="2" width="27.453125" style="4" customWidth="1"/>
    <col min="3" max="3" width="35.453125" customWidth="1"/>
    <col min="4" max="4" width="31" customWidth="1"/>
    <col min="5" max="5" width="25.7265625" customWidth="1"/>
    <col min="6" max="6" width="24.81640625" customWidth="1"/>
    <col min="7" max="7" width="31.26953125" customWidth="1"/>
    <col min="8" max="8" width="25.453125" style="1185" customWidth="1"/>
    <col min="9" max="9" width="27.7265625" customWidth="1"/>
    <col min="10" max="10" width="22.81640625" customWidth="1"/>
    <col min="11" max="11" width="30.7265625" customWidth="1"/>
    <col min="12" max="12" width="13.453125" style="706" bestFit="1" customWidth="1"/>
    <col min="13" max="14" width="13.26953125" style="706" bestFit="1" customWidth="1"/>
    <col min="15" max="15" width="13.26953125" customWidth="1"/>
    <col min="16" max="16" width="10.26953125" hidden="1" customWidth="1"/>
    <col min="17" max="17" width="25.26953125" hidden="1" customWidth="1"/>
    <col min="18" max="18" width="50.26953125" hidden="1" customWidth="1"/>
    <col min="19" max="19" width="24" hidden="1" customWidth="1"/>
    <col min="20" max="20" width="47.1796875" bestFit="1" customWidth="1"/>
    <col min="21" max="21" width="33.26953125" bestFit="1" customWidth="1"/>
    <col min="22" max="22" width="36.26953125" customWidth="1"/>
    <col min="23" max="23" width="38.7265625" customWidth="1"/>
  </cols>
  <sheetData>
    <row r="1" spans="1:19" ht="36.75" customHeight="1" thickBot="1" x14ac:dyDescent="0.4">
      <c r="A1" s="1901" t="s">
        <v>415</v>
      </c>
      <c r="B1" s="1902"/>
    </row>
    <row r="2" spans="1:19" ht="30.75" customHeight="1" x14ac:dyDescent="0.35">
      <c r="A2" s="1815" t="s">
        <v>1081</v>
      </c>
      <c r="B2" s="1816"/>
      <c r="C2" s="1816"/>
      <c r="D2" s="1816"/>
      <c r="E2" s="1817"/>
      <c r="F2" s="4"/>
      <c r="G2" s="1765" t="s">
        <v>309</v>
      </c>
      <c r="H2" s="1768" t="s">
        <v>509</v>
      </c>
      <c r="I2" s="1769"/>
      <c r="J2" s="1770"/>
      <c r="K2" s="801"/>
      <c r="M2" s="1458"/>
      <c r="N2" s="1478"/>
    </row>
    <row r="3" spans="1:19" ht="30.75" customHeight="1" x14ac:dyDescent="0.35">
      <c r="A3" s="1818" t="s">
        <v>1082</v>
      </c>
      <c r="B3" s="1819"/>
      <c r="C3" s="1819"/>
      <c r="D3" s="1819"/>
      <c r="E3" s="1820"/>
      <c r="F3" s="4"/>
      <c r="G3" s="1766"/>
      <c r="H3" s="1771"/>
      <c r="I3" s="1772"/>
      <c r="J3" s="1773"/>
      <c r="K3" s="801"/>
      <c r="M3" s="1458"/>
      <c r="N3" s="1478"/>
    </row>
    <row r="4" spans="1:19" ht="36.75" customHeight="1" thickBot="1" x14ac:dyDescent="0.4">
      <c r="A4" s="1821" t="s">
        <v>1083</v>
      </c>
      <c r="B4" s="1822"/>
      <c r="C4" s="1822"/>
      <c r="D4" s="1822"/>
      <c r="E4" s="1823"/>
      <c r="F4" s="4"/>
      <c r="G4" s="1767"/>
      <c r="H4" s="1774"/>
      <c r="I4" s="1775"/>
      <c r="J4" s="1776"/>
      <c r="K4" s="801"/>
      <c r="M4" s="1458"/>
      <c r="N4" s="1478"/>
    </row>
    <row r="5" spans="1:19" ht="15" thickBot="1" x14ac:dyDescent="0.4"/>
    <row r="6" spans="1:19" ht="27.75" customHeight="1" thickBot="1" x14ac:dyDescent="0.4">
      <c r="B6" s="1186"/>
      <c r="G6" s="537" t="s">
        <v>700</v>
      </c>
      <c r="H6" s="1936" t="s">
        <v>701</v>
      </c>
      <c r="I6" s="1937"/>
      <c r="J6" s="1938"/>
    </row>
    <row r="7" spans="1:19" ht="35.25" customHeight="1" thickBot="1" x14ac:dyDescent="0.4">
      <c r="A7" s="445" t="s">
        <v>206</v>
      </c>
      <c r="B7" s="1187">
        <f>SUMIF(J12:J59, "Scope 3",I12:I59)/1000</f>
        <v>0</v>
      </c>
      <c r="C7" s="441" t="s">
        <v>316</v>
      </c>
      <c r="D7" s="1682" t="s">
        <v>1084</v>
      </c>
      <c r="E7" s="1684"/>
      <c r="G7" s="538" t="s">
        <v>702</v>
      </c>
      <c r="H7" s="1851" t="s">
        <v>742</v>
      </c>
      <c r="I7" s="1939"/>
      <c r="J7" s="1940"/>
      <c r="L7" s="1465" t="s">
        <v>644</v>
      </c>
      <c r="M7" s="1466" t="s">
        <v>645</v>
      </c>
      <c r="N7" s="1467" t="s">
        <v>646</v>
      </c>
    </row>
    <row r="8" spans="1:19" ht="62.25" customHeight="1" thickBot="1" x14ac:dyDescent="0.4">
      <c r="A8" s="465" t="s">
        <v>516</v>
      </c>
      <c r="B8" s="1188" t="str">
        <f>IFERROR((SUM(F12:F59))/(SUM(C12:C59)*3),"")</f>
        <v/>
      </c>
      <c r="C8" s="445" t="s">
        <v>517</v>
      </c>
      <c r="D8" s="1828" t="s">
        <v>647</v>
      </c>
      <c r="E8" s="1830"/>
      <c r="F8" s="417"/>
      <c r="G8" s="539" t="s">
        <v>705</v>
      </c>
      <c r="H8" s="1936" t="s">
        <v>706</v>
      </c>
      <c r="I8" s="1937"/>
      <c r="J8" s="1938"/>
      <c r="L8" s="1444">
        <f>SUM(L12:L59)</f>
        <v>0</v>
      </c>
      <c r="M8" s="1445">
        <f>SUM(M12:M59)</f>
        <v>0</v>
      </c>
      <c r="N8" s="1446">
        <f>SUM(N12:N59)</f>
        <v>0</v>
      </c>
    </row>
    <row r="9" spans="1:19" ht="15" thickBot="1" x14ac:dyDescent="0.4">
      <c r="K9" s="4"/>
      <c r="O9" s="4"/>
      <c r="P9" s="1933" t="s">
        <v>1085</v>
      </c>
      <c r="Q9" s="1934"/>
      <c r="R9" s="1934"/>
      <c r="S9" s="1935"/>
    </row>
    <row r="10" spans="1:19" s="4" customFormat="1" ht="50.25" customHeight="1" thickBot="1" x14ac:dyDescent="0.5">
      <c r="A10" s="171" t="s">
        <v>1086</v>
      </c>
      <c r="B10" s="171" t="s">
        <v>532</v>
      </c>
      <c r="C10" s="171" t="s">
        <v>1087</v>
      </c>
      <c r="D10" s="171" t="s">
        <v>1088</v>
      </c>
      <c r="E10" s="171" t="s">
        <v>535</v>
      </c>
      <c r="F10" s="669" t="s">
        <v>536</v>
      </c>
      <c r="G10" s="247" t="s">
        <v>619</v>
      </c>
      <c r="H10" s="170" t="s">
        <v>542</v>
      </c>
      <c r="I10" s="171" t="s">
        <v>1089</v>
      </c>
      <c r="J10" s="234" t="s">
        <v>544</v>
      </c>
      <c r="L10" s="1447" t="s">
        <v>178</v>
      </c>
      <c r="M10" s="1448" t="s">
        <v>179</v>
      </c>
      <c r="N10" s="1449" t="s">
        <v>180</v>
      </c>
      <c r="O10"/>
      <c r="P10" s="546" t="s">
        <v>1088</v>
      </c>
      <c r="Q10" s="547" t="s">
        <v>657</v>
      </c>
      <c r="R10" s="547" t="s">
        <v>658</v>
      </c>
      <c r="S10" s="548" t="s">
        <v>659</v>
      </c>
    </row>
    <row r="11" spans="1:19" ht="44" thickBot="1" x14ac:dyDescent="0.4">
      <c r="A11" s="190" t="s">
        <v>329</v>
      </c>
      <c r="B11" s="190" t="s">
        <v>329</v>
      </c>
      <c r="C11" s="193" t="s">
        <v>1090</v>
      </c>
      <c r="D11" s="190" t="s">
        <v>197</v>
      </c>
      <c r="E11" s="190" t="s">
        <v>329</v>
      </c>
      <c r="F11" s="665"/>
      <c r="G11" s="248" t="s">
        <v>1091</v>
      </c>
      <c r="H11" s="178" t="s">
        <v>614</v>
      </c>
      <c r="I11" s="191" t="s">
        <v>560</v>
      </c>
      <c r="J11" s="383" t="s">
        <v>561</v>
      </c>
      <c r="L11" s="1450" t="s">
        <v>202</v>
      </c>
      <c r="M11" s="1451" t="s">
        <v>202</v>
      </c>
      <c r="N11" s="1452" t="s">
        <v>202</v>
      </c>
      <c r="P11" s="549" t="s">
        <v>197</v>
      </c>
      <c r="Q11" s="282" t="s">
        <v>713</v>
      </c>
      <c r="R11" s="282" t="s">
        <v>714</v>
      </c>
      <c r="S11" s="550" t="s">
        <v>1092</v>
      </c>
    </row>
    <row r="12" spans="1:19" x14ac:dyDescent="0.35">
      <c r="A12" s="581"/>
      <c r="B12" s="578"/>
      <c r="C12" s="576"/>
      <c r="D12" s="990" t="s">
        <v>197</v>
      </c>
      <c r="E12" s="197"/>
      <c r="F12" s="500" t="str" cm="1">
        <f t="array" ref="F12">IFERROR((_xlfn.IFS(E12=$S$11,"3",E12=$S$12,"1",E12=$S$13,"1"))*C12,"")</f>
        <v/>
      </c>
      <c r="G12" s="209"/>
      <c r="H12" s="1107" t="str">
        <f>IFERROR(VLOOKUP($A12&amp;"|"&amp;B12&amp;"|"&amp;D12,'Carbon factors'!$EJ$7:$EK$46,2,0),"")</f>
        <v/>
      </c>
      <c r="I12" s="586" t="str">
        <f>IFERROR(IF( D12="km",H12*C12 ),"")</f>
        <v/>
      </c>
      <c r="J12" s="497" t="s">
        <v>192</v>
      </c>
      <c r="L12" s="1476" t="str">
        <f>IFERROR(($C12*(VLOOKUP($A12&amp;"|"&amp;$B12&amp;"|"&amp;$D12,'Carbon factors'!$EJ$7:$EN$46,3,0))),"")</f>
        <v/>
      </c>
      <c r="M12" s="440" t="str">
        <f>IFERROR(($C12*(VLOOKUP($A12&amp;"|"&amp;$B12&amp;"|"&amp;$D12,'Carbon factors'!$EJ$7:$EN$46,4,0))),"")</f>
        <v/>
      </c>
      <c r="N12" s="1477" t="str">
        <f>IFERROR(($C12*(VLOOKUP($A12&amp;"|"&amp;$B12&amp;"|"&amp;$D12,'Carbon factors'!$EJ$7:$EN$46,5,0))),"")</f>
        <v/>
      </c>
      <c r="P12" s="261" t="s">
        <v>1093</v>
      </c>
      <c r="Q12" s="159" t="s">
        <v>715</v>
      </c>
      <c r="R12" s="159" t="s">
        <v>716</v>
      </c>
      <c r="S12" s="524" t="s">
        <v>1094</v>
      </c>
    </row>
    <row r="13" spans="1:19" x14ac:dyDescent="0.35">
      <c r="A13" s="582"/>
      <c r="B13" s="579"/>
      <c r="C13" s="577"/>
      <c r="D13" s="991" t="s">
        <v>197</v>
      </c>
      <c r="E13" s="186"/>
      <c r="F13" s="501" t="str" cm="1">
        <f t="array" ref="F13">IFERROR((_xlfn.IFS(E13=$S$11,"3",E13=$S$12,"1",E13=$S$13,"1"))*C13,"")</f>
        <v/>
      </c>
      <c r="G13" s="212"/>
      <c r="H13" s="1121" t="str">
        <f>IFERROR(VLOOKUP($A13&amp;"|"&amp;B13&amp;"|"&amp;D13,'Carbon factors'!$EJ$7:$EK$46,2,0),"")</f>
        <v/>
      </c>
      <c r="I13" s="587" t="str">
        <f t="shared" ref="I13:I59" si="0">IFERROR(IF( D13="km",H13*C13 ),"")</f>
        <v/>
      </c>
      <c r="J13" s="498" t="s">
        <v>192</v>
      </c>
      <c r="L13" s="1297" t="str">
        <f>IFERROR(($C13*(VLOOKUP($A13&amp;"|"&amp;$B13&amp;"|"&amp;$D13,'Carbon factors'!$EJ$7:$EN$46,3,0))),"")</f>
        <v/>
      </c>
      <c r="M13" s="183" t="str">
        <f>IFERROR(($C13*(VLOOKUP($A13&amp;"|"&amp;$B13&amp;"|"&amp;$D13,'Carbon factors'!$EJ$7:$EN$46,4,0))),"")</f>
        <v/>
      </c>
      <c r="N13" s="1296" t="str">
        <f>IFERROR(($C13*(VLOOKUP($A13&amp;"|"&amp;$B13&amp;"|"&amp;$D13,'Carbon factors'!$EJ$7:$EN$46,5,0))),"")</f>
        <v/>
      </c>
      <c r="P13" s="261"/>
      <c r="Q13" s="159" t="s">
        <v>1095</v>
      </c>
      <c r="R13" s="159" t="s">
        <v>717</v>
      </c>
      <c r="S13" s="524" t="s">
        <v>585</v>
      </c>
    </row>
    <row r="14" spans="1:19" x14ac:dyDescent="0.35">
      <c r="A14" s="582"/>
      <c r="B14" s="579"/>
      <c r="C14" s="577"/>
      <c r="D14" s="991" t="s">
        <v>197</v>
      </c>
      <c r="E14" s="186"/>
      <c r="F14" s="501" t="str" cm="1">
        <f t="array" ref="F14">IFERROR((_xlfn.IFS(E14=$S$11,"3",E14=$S$12,"1",E14=$S$13,"1"))*C14,"")</f>
        <v/>
      </c>
      <c r="G14" s="212"/>
      <c r="H14" s="1121" t="str">
        <f>IFERROR(VLOOKUP($A14&amp;"|"&amp;B14&amp;"|"&amp;D14,'Carbon factors'!$EJ$7:$EK$46,2,0),"")</f>
        <v/>
      </c>
      <c r="I14" s="587" t="str">
        <f t="shared" si="0"/>
        <v/>
      </c>
      <c r="J14" s="498" t="s">
        <v>192</v>
      </c>
      <c r="L14" s="1297" t="str">
        <f>IFERROR(($C14*(VLOOKUP($A14&amp;"|"&amp;$B14&amp;"|"&amp;$D14,'Carbon factors'!$EJ$7:$EN$46,3,0))),"")</f>
        <v/>
      </c>
      <c r="M14" s="183" t="str">
        <f>IFERROR(($C14*(VLOOKUP($A14&amp;"|"&amp;$B14&amp;"|"&amp;$D14,'Carbon factors'!$EJ$7:$EN$46,4,0))),"")</f>
        <v/>
      </c>
      <c r="N14" s="1296" t="str">
        <f>IFERROR(($C14*(VLOOKUP($A14&amp;"|"&amp;$B14&amp;"|"&amp;$D14,'Carbon factors'!$EJ$7:$EN$46,5,0))),"")</f>
        <v/>
      </c>
      <c r="P14" s="263"/>
      <c r="Q14" s="159"/>
      <c r="R14" s="159" t="s">
        <v>719</v>
      </c>
      <c r="S14" s="524"/>
    </row>
    <row r="15" spans="1:19" x14ac:dyDescent="0.35">
      <c r="A15" s="582"/>
      <c r="B15" s="579"/>
      <c r="C15" s="577"/>
      <c r="D15" s="991" t="s">
        <v>197</v>
      </c>
      <c r="E15" s="186"/>
      <c r="F15" s="501" t="str" cm="1">
        <f t="array" ref="F15">IFERROR((_xlfn.IFS(E15=$S$11,"3",E15=$S$12,"1",E15=$S$13,"1"))*C15,"")</f>
        <v/>
      </c>
      <c r="G15" s="212"/>
      <c r="H15" s="1121" t="str">
        <f>IFERROR(VLOOKUP($A15&amp;"|"&amp;B15&amp;"|"&amp;D15,'Carbon factors'!$EJ$7:$EK$46,2,0),"")</f>
        <v/>
      </c>
      <c r="I15" s="587" t="str">
        <f t="shared" si="0"/>
        <v/>
      </c>
      <c r="J15" s="498" t="s">
        <v>192</v>
      </c>
      <c r="L15" s="1297" t="str">
        <f>IFERROR(($C15*(VLOOKUP($A15&amp;"|"&amp;$B15&amp;"|"&amp;$D15,'Carbon factors'!$EJ$7:$EN$46,3,0))),"")</f>
        <v/>
      </c>
      <c r="M15" s="183" t="str">
        <f>IFERROR(($C15*(VLOOKUP($A15&amp;"|"&amp;$B15&amp;"|"&amp;$D15,'Carbon factors'!$EJ$7:$EN$46,4,0))),"")</f>
        <v/>
      </c>
      <c r="N15" s="1296" t="str">
        <f>IFERROR(($C15*(VLOOKUP($A15&amp;"|"&amp;$B15&amp;"|"&amp;$D15,'Carbon factors'!$EJ$7:$EN$46,5,0))),"")</f>
        <v/>
      </c>
      <c r="P15" s="263"/>
      <c r="Q15" s="159"/>
      <c r="R15" s="159" t="s">
        <v>720</v>
      </c>
      <c r="S15" s="524"/>
    </row>
    <row r="16" spans="1:19" x14ac:dyDescent="0.35">
      <c r="A16" s="582"/>
      <c r="B16" s="579"/>
      <c r="C16" s="577"/>
      <c r="D16" s="991" t="s">
        <v>197</v>
      </c>
      <c r="E16" s="186"/>
      <c r="F16" s="501" t="str" cm="1">
        <f t="array" ref="F16">IFERROR((_xlfn.IFS(E16=$S$11,"3",E16=$S$12,"1",E16=$S$13,"1"))*C16,"")</f>
        <v/>
      </c>
      <c r="G16" s="212"/>
      <c r="H16" s="1121" t="str">
        <f>IFERROR(VLOOKUP($A16&amp;"|"&amp;B16&amp;"|"&amp;D16,'Carbon factors'!$EJ$7:$EK$46,2,0),"")</f>
        <v/>
      </c>
      <c r="I16" s="587" t="str">
        <f t="shared" si="0"/>
        <v/>
      </c>
      <c r="J16" s="498" t="s">
        <v>192</v>
      </c>
      <c r="L16" s="1297" t="str">
        <f>IFERROR(($C16*(VLOOKUP($A16&amp;"|"&amp;$B16&amp;"|"&amp;$D16,'Carbon factors'!$EJ$7:$EN$46,3,0))),"")</f>
        <v/>
      </c>
      <c r="M16" s="183" t="str">
        <f>IFERROR(($C16*(VLOOKUP($A16&amp;"|"&amp;$B16&amp;"|"&amp;$D16,'Carbon factors'!$EJ$7:$EN$46,4,0))),"")</f>
        <v/>
      </c>
      <c r="N16" s="1296" t="str">
        <f>IFERROR(($C16*(VLOOKUP($A16&amp;"|"&amp;$B16&amp;"|"&amp;$D16,'Carbon factors'!$EJ$7:$EN$46,5,0))),"")</f>
        <v/>
      </c>
      <c r="P16" s="261"/>
      <c r="Q16" s="159"/>
      <c r="R16" s="159" t="s">
        <v>721</v>
      </c>
      <c r="S16" s="524"/>
    </row>
    <row r="17" spans="1:19" x14ac:dyDescent="0.35">
      <c r="A17" s="582"/>
      <c r="B17" s="579"/>
      <c r="C17" s="577"/>
      <c r="D17" s="991" t="s">
        <v>197</v>
      </c>
      <c r="E17" s="186"/>
      <c r="F17" s="501" t="str" cm="1">
        <f t="array" ref="F17">IFERROR((_xlfn.IFS(E17=$S$11,"3",E17=$S$12,"1",E17=$S$13,"1"))*C17,"")</f>
        <v/>
      </c>
      <c r="G17" s="212"/>
      <c r="H17" s="1121" t="str">
        <f>IFERROR(VLOOKUP($A17&amp;"|"&amp;B17&amp;"|"&amp;D17,'Carbon factors'!$EJ$7:$EK$46,2,0),"")</f>
        <v/>
      </c>
      <c r="I17" s="587" t="str">
        <f t="shared" si="0"/>
        <v/>
      </c>
      <c r="J17" s="498" t="s">
        <v>192</v>
      </c>
      <c r="L17" s="1297" t="str">
        <f>IFERROR(($C17*(VLOOKUP($A17&amp;"|"&amp;$B17&amp;"|"&amp;$D17,'Carbon factors'!$EJ$7:$EN$46,3,0))),"")</f>
        <v/>
      </c>
      <c r="M17" s="183" t="str">
        <f>IFERROR(($C17*(VLOOKUP($A17&amp;"|"&amp;$B17&amp;"|"&amp;$D17,'Carbon factors'!$EJ$7:$EN$46,4,0))),"")</f>
        <v/>
      </c>
      <c r="N17" s="1296" t="str">
        <f>IFERROR(($C17*(VLOOKUP($A17&amp;"|"&amp;$B17&amp;"|"&amp;$D17,'Carbon factors'!$EJ$7:$EN$46,5,0))),"")</f>
        <v/>
      </c>
      <c r="P17" s="261"/>
      <c r="Q17" s="159"/>
      <c r="R17" s="159" t="s">
        <v>722</v>
      </c>
      <c r="S17" s="524"/>
    </row>
    <row r="18" spans="1:19" x14ac:dyDescent="0.35">
      <c r="A18" s="582"/>
      <c r="B18" s="579"/>
      <c r="C18" s="577"/>
      <c r="D18" s="991" t="s">
        <v>197</v>
      </c>
      <c r="E18" s="186"/>
      <c r="F18" s="501" t="str" cm="1">
        <f t="array" ref="F18">IFERROR((_xlfn.IFS(E18=$S$11,"3",E18=$S$12,"1",E18=$S$13,"1"))*C18,"")</f>
        <v/>
      </c>
      <c r="G18" s="212"/>
      <c r="H18" s="1121" t="str">
        <f>IFERROR(VLOOKUP($A18&amp;"|"&amp;B18&amp;"|"&amp;D18,'Carbon factors'!$EJ$7:$EK$46,2,0),"")</f>
        <v/>
      </c>
      <c r="I18" s="587" t="str">
        <f t="shared" si="0"/>
        <v/>
      </c>
      <c r="J18" s="498" t="s">
        <v>192</v>
      </c>
      <c r="L18" s="1297" t="str">
        <f>IFERROR(($C18*(VLOOKUP($A18&amp;"|"&amp;$B18&amp;"|"&amp;$D18,'Carbon factors'!$EJ$7:$EN$46,3,0))),"")</f>
        <v/>
      </c>
      <c r="M18" s="183" t="str">
        <f>IFERROR(($C18*(VLOOKUP($A18&amp;"|"&amp;$B18&amp;"|"&amp;$D18,'Carbon factors'!$EJ$7:$EN$46,4,0))),"")</f>
        <v/>
      </c>
      <c r="N18" s="1296" t="str">
        <f>IFERROR(($C18*(VLOOKUP($A18&amp;"|"&amp;$B18&amp;"|"&amp;$D18,'Carbon factors'!$EJ$7:$EN$46,5,0))),"")</f>
        <v/>
      </c>
      <c r="P18" s="261"/>
      <c r="Q18" s="159"/>
      <c r="R18" s="159" t="s">
        <v>723</v>
      </c>
      <c r="S18" s="524"/>
    </row>
    <row r="19" spans="1:19" x14ac:dyDescent="0.35">
      <c r="A19" s="582"/>
      <c r="B19" s="579"/>
      <c r="C19" s="577"/>
      <c r="D19" s="991" t="s">
        <v>197</v>
      </c>
      <c r="E19" s="186"/>
      <c r="F19" s="501" t="str" cm="1">
        <f t="array" ref="F19">IFERROR((_xlfn.IFS(E19=$S$11,"3",E19=$S$12,"1",E19=$S$13,"1"))*C19,"")</f>
        <v/>
      </c>
      <c r="G19" s="212"/>
      <c r="H19" s="1121" t="str">
        <f>IFERROR(VLOOKUP($A19&amp;"|"&amp;B19&amp;"|"&amp;D19,'Carbon factors'!$EJ$7:$EK$46,2,0),"")</f>
        <v/>
      </c>
      <c r="I19" s="587" t="str">
        <f t="shared" si="0"/>
        <v/>
      </c>
      <c r="J19" s="498" t="s">
        <v>192</v>
      </c>
      <c r="L19" s="1297" t="str">
        <f>IFERROR(($C19*(VLOOKUP($A19&amp;"|"&amp;$B19&amp;"|"&amp;$D19,'Carbon factors'!$EJ$7:$EN$46,3,0))),"")</f>
        <v/>
      </c>
      <c r="M19" s="183" t="str">
        <f>IFERROR(($C19*(VLOOKUP($A19&amp;"|"&amp;$B19&amp;"|"&amp;$D19,'Carbon factors'!$EJ$7:$EN$46,4,0))),"")</f>
        <v/>
      </c>
      <c r="N19" s="1296" t="str">
        <f>IFERROR(($C19*(VLOOKUP($A19&amp;"|"&amp;$B19&amp;"|"&amp;$D19,'Carbon factors'!$EJ$7:$EN$46,5,0))),"")</f>
        <v/>
      </c>
      <c r="P19" s="261"/>
      <c r="Q19" s="159"/>
      <c r="R19" s="159" t="s">
        <v>724</v>
      </c>
      <c r="S19" s="524"/>
    </row>
    <row r="20" spans="1:19" x14ac:dyDescent="0.35">
      <c r="A20" s="582"/>
      <c r="B20" s="579"/>
      <c r="C20" s="577"/>
      <c r="D20" s="991" t="s">
        <v>197</v>
      </c>
      <c r="E20" s="186"/>
      <c r="F20" s="501" t="str" cm="1">
        <f t="array" ref="F20">IFERROR((_xlfn.IFS(E20=$S$11,"3",E20=$S$12,"1",E20=$S$13,"1"))*C20,"")</f>
        <v/>
      </c>
      <c r="G20" s="212"/>
      <c r="H20" s="1121" t="str">
        <f>IFERROR(VLOOKUP($A20&amp;"|"&amp;B20&amp;"|"&amp;D20,'Carbon factors'!$EJ$7:$EK$46,2,0),"")</f>
        <v/>
      </c>
      <c r="I20" s="587" t="str">
        <f t="shared" si="0"/>
        <v/>
      </c>
      <c r="J20" s="498" t="s">
        <v>192</v>
      </c>
      <c r="L20" s="1297" t="str">
        <f>IFERROR(($C20*(VLOOKUP($A20&amp;"|"&amp;$B20&amp;"|"&amp;$D20,'Carbon factors'!$EJ$7:$EN$46,3,0))),"")</f>
        <v/>
      </c>
      <c r="M20" s="183" t="str">
        <f>IFERROR(($C20*(VLOOKUP($A20&amp;"|"&amp;$B20&amp;"|"&amp;$D20,'Carbon factors'!$EJ$7:$EN$46,4,0))),"")</f>
        <v/>
      </c>
      <c r="N20" s="1296" t="str">
        <f>IFERROR(($C20*(VLOOKUP($A20&amp;"|"&amp;$B20&amp;"|"&amp;$D20,'Carbon factors'!$EJ$7:$EN$46,5,0))),"")</f>
        <v/>
      </c>
      <c r="P20" s="261"/>
      <c r="Q20" s="159"/>
      <c r="R20" s="396" t="s">
        <v>725</v>
      </c>
      <c r="S20" s="524"/>
    </row>
    <row r="21" spans="1:19" x14ac:dyDescent="0.35">
      <c r="A21" s="582"/>
      <c r="B21" s="579"/>
      <c r="C21" s="577"/>
      <c r="D21" s="991" t="s">
        <v>197</v>
      </c>
      <c r="E21" s="186"/>
      <c r="F21" s="501" t="str" cm="1">
        <f t="array" ref="F21">IFERROR((_xlfn.IFS(E21=$S$11,"3",E21=$S$12,"1",E21=$S$13,"1"))*C21,"")</f>
        <v/>
      </c>
      <c r="G21" s="212"/>
      <c r="H21" s="1121" t="str">
        <f>IFERROR(VLOOKUP($A21&amp;"|"&amp;B21&amp;"|"&amp;D21,'Carbon factors'!$EJ$7:$EK$46,2,0),"")</f>
        <v/>
      </c>
      <c r="I21" s="587" t="str">
        <f t="shared" si="0"/>
        <v/>
      </c>
      <c r="J21" s="498" t="s">
        <v>192</v>
      </c>
      <c r="L21" s="1297" t="str">
        <f>IFERROR(($C21*(VLOOKUP($A21&amp;"|"&amp;$B21&amp;"|"&amp;$D21,'Carbon factors'!$EJ$7:$EN$46,3,0))),"")</f>
        <v/>
      </c>
      <c r="M21" s="183" t="str">
        <f>IFERROR(($C21*(VLOOKUP($A21&amp;"|"&amp;$B21&amp;"|"&amp;$D21,'Carbon factors'!$EJ$7:$EN$46,4,0))),"")</f>
        <v/>
      </c>
      <c r="N21" s="1296" t="str">
        <f>IFERROR(($C21*(VLOOKUP($A21&amp;"|"&amp;$B21&amp;"|"&amp;$D21,'Carbon factors'!$EJ$7:$EN$46,5,0))),"")</f>
        <v/>
      </c>
      <c r="P21" s="261"/>
      <c r="Q21" s="159"/>
      <c r="R21" s="396" t="s">
        <v>726</v>
      </c>
      <c r="S21" s="524"/>
    </row>
    <row r="22" spans="1:19" x14ac:dyDescent="0.35">
      <c r="A22" s="582"/>
      <c r="B22" s="579"/>
      <c r="C22" s="577"/>
      <c r="D22" s="991" t="s">
        <v>197</v>
      </c>
      <c r="E22" s="186"/>
      <c r="F22" s="501" t="str" cm="1">
        <f t="array" ref="F22">IFERROR((_xlfn.IFS(E22=$S$11,"3",E22=$S$12,"1",E22=$S$13,"1"))*C22,"")</f>
        <v/>
      </c>
      <c r="G22" s="212"/>
      <c r="H22" s="1121" t="str">
        <f>IFERROR(VLOOKUP($A22&amp;"|"&amp;B22&amp;"|"&amp;D22,'Carbon factors'!$EJ$7:$EK$46,2,0),"")</f>
        <v/>
      </c>
      <c r="I22" s="587" t="str">
        <f t="shared" si="0"/>
        <v/>
      </c>
      <c r="J22" s="498" t="s">
        <v>192</v>
      </c>
      <c r="L22" s="1297" t="str">
        <f>IFERROR(($C22*(VLOOKUP($A22&amp;"|"&amp;$B22&amp;"|"&amp;$D22,'Carbon factors'!$EJ$7:$EN$46,3,0))),"")</f>
        <v/>
      </c>
      <c r="M22" s="183" t="str">
        <f>IFERROR(($C22*(VLOOKUP($A22&amp;"|"&amp;$B22&amp;"|"&amp;$D22,'Carbon factors'!$EJ$7:$EN$46,4,0))),"")</f>
        <v/>
      </c>
      <c r="N22" s="1296" t="str">
        <f>IFERROR(($C22*(VLOOKUP($A22&amp;"|"&amp;$B22&amp;"|"&amp;$D22,'Carbon factors'!$EJ$7:$EN$46,5,0))),"")</f>
        <v/>
      </c>
      <c r="P22" s="261"/>
      <c r="Q22" s="159"/>
      <c r="R22" s="396" t="s">
        <v>1096</v>
      </c>
      <c r="S22" s="524"/>
    </row>
    <row r="23" spans="1:19" x14ac:dyDescent="0.35">
      <c r="A23" s="582"/>
      <c r="B23" s="579"/>
      <c r="C23" s="577"/>
      <c r="D23" s="991" t="s">
        <v>197</v>
      </c>
      <c r="E23" s="186"/>
      <c r="F23" s="501" t="str" cm="1">
        <f t="array" ref="F23">IFERROR((_xlfn.IFS(E23=$S$11,"3",E23=$S$12,"1",E23=$S$13,"1"))*C23,"")</f>
        <v/>
      </c>
      <c r="G23" s="212"/>
      <c r="H23" s="1121" t="str">
        <f>IFERROR(VLOOKUP($A23&amp;"|"&amp;B23&amp;"|"&amp;D23,'Carbon factors'!$EJ$7:$EK$46,2,0),"")</f>
        <v/>
      </c>
      <c r="I23" s="587" t="str">
        <f t="shared" si="0"/>
        <v/>
      </c>
      <c r="J23" s="498" t="s">
        <v>192</v>
      </c>
      <c r="L23" s="1297" t="str">
        <f>IFERROR(($C23*(VLOOKUP($A23&amp;"|"&amp;$B23&amp;"|"&amp;$D23,'Carbon factors'!$EJ$7:$EN$46,3,0))),"")</f>
        <v/>
      </c>
      <c r="M23" s="183" t="str">
        <f>IFERROR(($C23*(VLOOKUP($A23&amp;"|"&amp;$B23&amp;"|"&amp;$D23,'Carbon factors'!$EJ$7:$EN$46,4,0))),"")</f>
        <v/>
      </c>
      <c r="N23" s="1296" t="str">
        <f>IFERROR(($C23*(VLOOKUP($A23&amp;"|"&amp;$B23&amp;"|"&amp;$D23,'Carbon factors'!$EJ$7:$EN$46,5,0))),"")</f>
        <v/>
      </c>
      <c r="P23" s="261"/>
      <c r="Q23" s="159"/>
      <c r="R23" s="396" t="s">
        <v>727</v>
      </c>
      <c r="S23" s="524"/>
    </row>
    <row r="24" spans="1:19" x14ac:dyDescent="0.35">
      <c r="A24" s="582"/>
      <c r="B24" s="579"/>
      <c r="C24" s="577"/>
      <c r="D24" s="991" t="s">
        <v>197</v>
      </c>
      <c r="E24" s="186"/>
      <c r="F24" s="501" t="str" cm="1">
        <f t="array" ref="F24">IFERROR((_xlfn.IFS(E24=$S$11,"3",E24=$S$12,"1",E24=$S$13,"1"))*C24,"")</f>
        <v/>
      </c>
      <c r="G24" s="212"/>
      <c r="H24" s="1121" t="str">
        <f>IFERROR(VLOOKUP($A24&amp;"|"&amp;B24&amp;"|"&amp;D24,'Carbon factors'!$EJ$7:$EK$46,2,0),"")</f>
        <v/>
      </c>
      <c r="I24" s="587" t="str">
        <f t="shared" si="0"/>
        <v/>
      </c>
      <c r="J24" s="498" t="s">
        <v>192</v>
      </c>
      <c r="L24" s="1297" t="str">
        <f>IFERROR(($C24*(VLOOKUP($A24&amp;"|"&amp;$B24&amp;"|"&amp;$D24,'Carbon factors'!$EJ$7:$EN$46,3,0))),"")</f>
        <v/>
      </c>
      <c r="M24" s="183" t="str">
        <f>IFERROR(($C24*(VLOOKUP($A24&amp;"|"&amp;$B24&amp;"|"&amp;$D24,'Carbon factors'!$EJ$7:$EN$46,4,0))),"")</f>
        <v/>
      </c>
      <c r="N24" s="1296" t="str">
        <f>IFERROR(($C24*(VLOOKUP($A24&amp;"|"&amp;$B24&amp;"|"&amp;$D24,'Carbon factors'!$EJ$7:$EN$46,5,0))),"")</f>
        <v/>
      </c>
      <c r="P24" s="261"/>
      <c r="Q24" s="159"/>
      <c r="R24" s="396" t="s">
        <v>728</v>
      </c>
      <c r="S24" s="524"/>
    </row>
    <row r="25" spans="1:19" x14ac:dyDescent="0.35">
      <c r="A25" s="582"/>
      <c r="B25" s="579"/>
      <c r="C25" s="577"/>
      <c r="D25" s="991" t="s">
        <v>197</v>
      </c>
      <c r="E25" s="186"/>
      <c r="F25" s="501" t="str" cm="1">
        <f t="array" ref="F25">IFERROR((_xlfn.IFS(E25=$S$11,"3",E25=$S$12,"1",E25=$S$13,"1"))*C25,"")</f>
        <v/>
      </c>
      <c r="G25" s="212"/>
      <c r="H25" s="1121" t="str">
        <f>IFERROR(VLOOKUP($A25&amp;"|"&amp;B25&amp;"|"&amp;D25,'Carbon factors'!$EJ$7:$EK$46,2,0),"")</f>
        <v/>
      </c>
      <c r="I25" s="587" t="str">
        <f t="shared" si="0"/>
        <v/>
      </c>
      <c r="J25" s="498" t="s">
        <v>192</v>
      </c>
      <c r="L25" s="1297" t="str">
        <f>IFERROR(($C25*(VLOOKUP($A25&amp;"|"&amp;$B25&amp;"|"&amp;$D25,'Carbon factors'!$EJ$7:$EN$46,3,0))),"")</f>
        <v/>
      </c>
      <c r="M25" s="183" t="str">
        <f>IFERROR(($C25*(VLOOKUP($A25&amp;"|"&amp;$B25&amp;"|"&amp;$D25,'Carbon factors'!$EJ$7:$EN$46,4,0))),"")</f>
        <v/>
      </c>
      <c r="N25" s="1296" t="str">
        <f>IFERROR(($C25*(VLOOKUP($A25&amp;"|"&amp;$B25&amp;"|"&amp;$D25,'Carbon factors'!$EJ$7:$EN$46,5,0))),"")</f>
        <v/>
      </c>
      <c r="P25" s="261"/>
      <c r="Q25" s="159"/>
      <c r="R25" s="159" t="s">
        <v>729</v>
      </c>
      <c r="S25" s="524"/>
    </row>
    <row r="26" spans="1:19" x14ac:dyDescent="0.35">
      <c r="A26" s="582"/>
      <c r="B26" s="579"/>
      <c r="C26" s="577"/>
      <c r="D26" s="991" t="s">
        <v>197</v>
      </c>
      <c r="E26" s="186"/>
      <c r="F26" s="501" t="str" cm="1">
        <f t="array" ref="F26">IFERROR((_xlfn.IFS(E26=$S$11,"3",E26=$S$12,"1",E26=$S$13,"1"))*C26,"")</f>
        <v/>
      </c>
      <c r="G26" s="212"/>
      <c r="H26" s="1121" t="str">
        <f>IFERROR(VLOOKUP($A26&amp;"|"&amp;B26&amp;"|"&amp;D26,'Carbon factors'!$EJ$7:$EK$46,2,0),"")</f>
        <v/>
      </c>
      <c r="I26" s="587" t="str">
        <f t="shared" si="0"/>
        <v/>
      </c>
      <c r="J26" s="498" t="s">
        <v>192</v>
      </c>
      <c r="L26" s="1297" t="str">
        <f>IFERROR(($C26*(VLOOKUP($A26&amp;"|"&amp;$B26&amp;"|"&amp;$D26,'Carbon factors'!$EJ$7:$EN$46,3,0))),"")</f>
        <v/>
      </c>
      <c r="M26" s="183" t="str">
        <f>IFERROR(($C26*(VLOOKUP($A26&amp;"|"&amp;$B26&amp;"|"&amp;$D26,'Carbon factors'!$EJ$7:$EN$46,4,0))),"")</f>
        <v/>
      </c>
      <c r="N26" s="1296" t="str">
        <f>IFERROR(($C26*(VLOOKUP($A26&amp;"|"&amp;$B26&amp;"|"&amp;$D26,'Carbon factors'!$EJ$7:$EN$46,5,0))),"")</f>
        <v/>
      </c>
      <c r="P26" s="261"/>
      <c r="Q26" s="159"/>
      <c r="R26" s="159" t="s">
        <v>730</v>
      </c>
      <c r="S26" s="524"/>
    </row>
    <row r="27" spans="1:19" x14ac:dyDescent="0.35">
      <c r="A27" s="582"/>
      <c r="B27" s="579"/>
      <c r="C27" s="577"/>
      <c r="D27" s="991" t="s">
        <v>197</v>
      </c>
      <c r="E27" s="186"/>
      <c r="F27" s="501" t="str" cm="1">
        <f t="array" ref="F27">IFERROR((_xlfn.IFS(E27=$S$11,"3",E27=$S$12,"1",E27=$S$13,"1"))*C27,"")</f>
        <v/>
      </c>
      <c r="G27" s="212"/>
      <c r="H27" s="1121" t="str">
        <f>IFERROR(VLOOKUP($A27&amp;"|"&amp;B27&amp;"|"&amp;D27,'Carbon factors'!$EJ$7:$EK$46,2,0),"")</f>
        <v/>
      </c>
      <c r="I27" s="587" t="str">
        <f t="shared" si="0"/>
        <v/>
      </c>
      <c r="J27" s="498" t="s">
        <v>192</v>
      </c>
      <c r="L27" s="1297" t="str">
        <f>IFERROR(($C27*(VLOOKUP($A27&amp;"|"&amp;$B27&amp;"|"&amp;$D27,'Carbon factors'!$EJ$7:$EN$46,3,0))),"")</f>
        <v/>
      </c>
      <c r="M27" s="183" t="str">
        <f>IFERROR(($C27*(VLOOKUP($A27&amp;"|"&amp;$B27&amp;"|"&amp;$D27,'Carbon factors'!$EJ$7:$EN$46,4,0))),"")</f>
        <v/>
      </c>
      <c r="N27" s="1296" t="str">
        <f>IFERROR(($C27*(VLOOKUP($A27&amp;"|"&amp;$B27&amp;"|"&amp;$D27,'Carbon factors'!$EJ$7:$EN$46,5,0))),"")</f>
        <v/>
      </c>
      <c r="P27" s="261"/>
      <c r="Q27" s="159"/>
      <c r="R27" s="159" t="s">
        <v>731</v>
      </c>
      <c r="S27" s="524"/>
    </row>
    <row r="28" spans="1:19" x14ac:dyDescent="0.35">
      <c r="A28" s="582"/>
      <c r="B28" s="579"/>
      <c r="C28" s="577"/>
      <c r="D28" s="991" t="s">
        <v>197</v>
      </c>
      <c r="E28" s="186"/>
      <c r="F28" s="501" t="str" cm="1">
        <f t="array" ref="F28">IFERROR((_xlfn.IFS(E28=$S$11,"3",E28=$S$12,"1",E28=$S$13,"1"))*C28,"")</f>
        <v/>
      </c>
      <c r="G28" s="212"/>
      <c r="H28" s="1121" t="str">
        <f>IFERROR(VLOOKUP($A28&amp;"|"&amp;B28&amp;"|"&amp;D28,'Carbon factors'!$EJ$7:$EK$46,2,0),"")</f>
        <v/>
      </c>
      <c r="I28" s="587" t="str">
        <f t="shared" si="0"/>
        <v/>
      </c>
      <c r="J28" s="498" t="s">
        <v>192</v>
      </c>
      <c r="L28" s="1297" t="str">
        <f>IFERROR(($C28*(VLOOKUP($A28&amp;"|"&amp;$B28&amp;"|"&amp;$D28,'Carbon factors'!$EJ$7:$EN$46,3,0))),"")</f>
        <v/>
      </c>
      <c r="M28" s="183" t="str">
        <f>IFERROR(($C28*(VLOOKUP($A28&amp;"|"&amp;$B28&amp;"|"&amp;$D28,'Carbon factors'!$EJ$7:$EN$46,4,0))),"")</f>
        <v/>
      </c>
      <c r="N28" s="1296" t="str">
        <f>IFERROR(($C28*(VLOOKUP($A28&amp;"|"&amp;$B28&amp;"|"&amp;$D28,'Carbon factors'!$EJ$7:$EN$46,5,0))),"")</f>
        <v/>
      </c>
      <c r="P28" s="261"/>
      <c r="Q28" s="159"/>
      <c r="R28" s="159" t="s">
        <v>732</v>
      </c>
      <c r="S28" s="524"/>
    </row>
    <row r="29" spans="1:19" x14ac:dyDescent="0.35">
      <c r="A29" s="582"/>
      <c r="B29" s="579"/>
      <c r="C29" s="577"/>
      <c r="D29" s="991" t="s">
        <v>197</v>
      </c>
      <c r="E29" s="186"/>
      <c r="F29" s="501" t="str" cm="1">
        <f t="array" ref="F29">IFERROR((_xlfn.IFS(E29=$S$11,"3",E29=$S$12,"1",E29=$S$13,"1"))*C29,"")</f>
        <v/>
      </c>
      <c r="G29" s="212"/>
      <c r="H29" s="1121" t="str">
        <f>IFERROR(VLOOKUP($A29&amp;"|"&amp;B29&amp;"|"&amp;D29,'Carbon factors'!$EJ$7:$EK$46,2,0),"")</f>
        <v/>
      </c>
      <c r="I29" s="587" t="str">
        <f t="shared" si="0"/>
        <v/>
      </c>
      <c r="J29" s="498" t="s">
        <v>192</v>
      </c>
      <c r="L29" s="1297" t="str">
        <f>IFERROR(($C29*(VLOOKUP($A29&amp;"|"&amp;$B29&amp;"|"&amp;$D29,'Carbon factors'!$EJ$7:$EN$46,3,0))),"")</f>
        <v/>
      </c>
      <c r="M29" s="183" t="str">
        <f>IFERROR(($C29*(VLOOKUP($A29&amp;"|"&amp;$B29&amp;"|"&amp;$D29,'Carbon factors'!$EJ$7:$EN$46,4,0))),"")</f>
        <v/>
      </c>
      <c r="N29" s="1296" t="str">
        <f>IFERROR(($C29*(VLOOKUP($A29&amp;"|"&amp;$B29&amp;"|"&amp;$D29,'Carbon factors'!$EJ$7:$EN$46,5,0))),"")</f>
        <v/>
      </c>
      <c r="P29" s="261"/>
      <c r="Q29" s="159"/>
      <c r="R29" s="159" t="s">
        <v>733</v>
      </c>
      <c r="S29" s="524"/>
    </row>
    <row r="30" spans="1:19" x14ac:dyDescent="0.35">
      <c r="A30" s="582"/>
      <c r="B30" s="579"/>
      <c r="C30" s="577"/>
      <c r="D30" s="991" t="s">
        <v>197</v>
      </c>
      <c r="E30" s="186"/>
      <c r="F30" s="501" t="str" cm="1">
        <f t="array" ref="F30">IFERROR((_xlfn.IFS(E30=$S$11,"3",E30=$S$12,"1",E30=$S$13,"1"))*C30,"")</f>
        <v/>
      </c>
      <c r="G30" s="212"/>
      <c r="H30" s="1121" t="str">
        <f>IFERROR(VLOOKUP($A30&amp;"|"&amp;B30&amp;"|"&amp;D30,'Carbon factors'!$EJ$7:$EK$46,2,0),"")</f>
        <v/>
      </c>
      <c r="I30" s="587" t="str">
        <f t="shared" si="0"/>
        <v/>
      </c>
      <c r="J30" s="498" t="s">
        <v>192</v>
      </c>
      <c r="L30" s="1297" t="str">
        <f>IFERROR(($C30*(VLOOKUP($A30&amp;"|"&amp;$B30&amp;"|"&amp;$D30,'Carbon factors'!$EJ$7:$EN$46,3,0))),"")</f>
        <v/>
      </c>
      <c r="M30" s="183" t="str">
        <f>IFERROR(($C30*(VLOOKUP($A30&amp;"|"&amp;$B30&amp;"|"&amp;$D30,'Carbon factors'!$EJ$7:$EN$46,4,0))),"")</f>
        <v/>
      </c>
      <c r="N30" s="1296" t="str">
        <f>IFERROR(($C30*(VLOOKUP($A30&amp;"|"&amp;$B30&amp;"|"&amp;$D30,'Carbon factors'!$EJ$7:$EN$46,5,0))),"")</f>
        <v/>
      </c>
      <c r="P30" s="261"/>
      <c r="Q30" s="159"/>
      <c r="R30" s="159" t="s">
        <v>734</v>
      </c>
      <c r="S30" s="524"/>
    </row>
    <row r="31" spans="1:19" x14ac:dyDescent="0.35">
      <c r="A31" s="582"/>
      <c r="B31" s="579"/>
      <c r="C31" s="577"/>
      <c r="D31" s="991" t="s">
        <v>197</v>
      </c>
      <c r="E31" s="186"/>
      <c r="F31" s="501" t="str" cm="1">
        <f t="array" ref="F31">IFERROR((_xlfn.IFS(E31=$S$11,"3",E31=$S$12,"1",E31=$S$13,"1"))*C31,"")</f>
        <v/>
      </c>
      <c r="G31" s="212"/>
      <c r="H31" s="1121" t="str">
        <f>IFERROR(VLOOKUP($A31&amp;"|"&amp;B31&amp;"|"&amp;D31,'Carbon factors'!$EJ$7:$EK$46,2,0),"")</f>
        <v/>
      </c>
      <c r="I31" s="587" t="str">
        <f t="shared" si="0"/>
        <v/>
      </c>
      <c r="J31" s="498" t="s">
        <v>192</v>
      </c>
      <c r="L31" s="1297" t="str">
        <f>IFERROR(($C31*(VLOOKUP($A31&amp;"|"&amp;$B31&amp;"|"&amp;$D31,'Carbon factors'!$EJ$7:$EN$46,3,0))),"")</f>
        <v/>
      </c>
      <c r="M31" s="183" t="str">
        <f>IFERROR(($C31*(VLOOKUP($A31&amp;"|"&amp;$B31&amp;"|"&amp;$D31,'Carbon factors'!$EJ$7:$EN$46,4,0))),"")</f>
        <v/>
      </c>
      <c r="N31" s="1296" t="str">
        <f>IFERROR(($C31*(VLOOKUP($A31&amp;"|"&amp;$B31&amp;"|"&amp;$D31,'Carbon factors'!$EJ$7:$EN$46,5,0))),"")</f>
        <v/>
      </c>
      <c r="P31" s="261"/>
      <c r="Q31" s="159"/>
      <c r="R31" s="158" t="s">
        <v>1097</v>
      </c>
      <c r="S31" s="524"/>
    </row>
    <row r="32" spans="1:19" x14ac:dyDescent="0.35">
      <c r="A32" s="582"/>
      <c r="B32" s="579"/>
      <c r="C32" s="577"/>
      <c r="D32" s="991" t="s">
        <v>197</v>
      </c>
      <c r="E32" s="186"/>
      <c r="F32" s="501" t="str" cm="1">
        <f t="array" ref="F32">IFERROR((_xlfn.IFS(E32=$S$11,"3",E32=$S$12,"1",E32=$S$13,"1"))*C32,"")</f>
        <v/>
      </c>
      <c r="G32" s="212"/>
      <c r="H32" s="1121" t="str">
        <f>IFERROR(VLOOKUP($A32&amp;"|"&amp;B32&amp;"|"&amp;D32,'Carbon factors'!$EJ$7:$EK$46,2,0),"")</f>
        <v/>
      </c>
      <c r="I32" s="587" t="str">
        <f t="shared" si="0"/>
        <v/>
      </c>
      <c r="J32" s="498" t="s">
        <v>192</v>
      </c>
      <c r="L32" s="1297" t="str">
        <f>IFERROR(($C32*(VLOOKUP($A32&amp;"|"&amp;$B32&amp;"|"&amp;$D32,'Carbon factors'!$EJ$7:$EN$46,3,0))),"")</f>
        <v/>
      </c>
      <c r="M32" s="183" t="str">
        <f>IFERROR(($C32*(VLOOKUP($A32&amp;"|"&amp;$B32&amp;"|"&amp;$D32,'Carbon factors'!$EJ$7:$EN$46,4,0))),"")</f>
        <v/>
      </c>
      <c r="N32" s="1296" t="str">
        <f>IFERROR(($C32*(VLOOKUP($A32&amp;"|"&amp;$B32&amp;"|"&amp;$D32,'Carbon factors'!$EJ$7:$EN$46,5,0))),"")</f>
        <v/>
      </c>
      <c r="P32" s="261"/>
      <c r="Q32" s="159"/>
      <c r="R32" s="158" t="s">
        <v>1098</v>
      </c>
      <c r="S32" s="524"/>
    </row>
    <row r="33" spans="1:19" x14ac:dyDescent="0.35">
      <c r="A33" s="582"/>
      <c r="B33" s="579"/>
      <c r="C33" s="577"/>
      <c r="D33" s="991" t="s">
        <v>197</v>
      </c>
      <c r="E33" s="186"/>
      <c r="F33" s="501" t="str" cm="1">
        <f t="array" ref="F33">IFERROR((_xlfn.IFS(E33=$S$11,"3",E33=$S$12,"1",E33=$S$13,"1"))*C33,"")</f>
        <v/>
      </c>
      <c r="G33" s="212"/>
      <c r="H33" s="1121" t="str">
        <f>IFERROR(VLOOKUP($A33&amp;"|"&amp;B33&amp;"|"&amp;D33,'Carbon factors'!$EJ$7:$EK$46,2,0),"")</f>
        <v/>
      </c>
      <c r="I33" s="587" t="str">
        <f t="shared" si="0"/>
        <v/>
      </c>
      <c r="J33" s="498" t="s">
        <v>192</v>
      </c>
      <c r="L33" s="1297" t="str">
        <f>IFERROR(($C33*(VLOOKUP($A33&amp;"|"&amp;$B33&amp;"|"&amp;$D33,'Carbon factors'!$EJ$7:$EN$46,3,0))),"")</f>
        <v/>
      </c>
      <c r="M33" s="183" t="str">
        <f>IFERROR(($C33*(VLOOKUP($A33&amp;"|"&amp;$B33&amp;"|"&amp;$D33,'Carbon factors'!$EJ$7:$EN$46,4,0))),"")</f>
        <v/>
      </c>
      <c r="N33" s="1296" t="str">
        <f>IFERROR(($C33*(VLOOKUP($A33&amp;"|"&amp;$B33&amp;"|"&amp;$D33,'Carbon factors'!$EJ$7:$EN$46,5,0))),"")</f>
        <v/>
      </c>
      <c r="P33" s="261"/>
      <c r="Q33" s="159"/>
      <c r="R33" s="158" t="s">
        <v>1099</v>
      </c>
      <c r="S33" s="524"/>
    </row>
    <row r="34" spans="1:19" x14ac:dyDescent="0.35">
      <c r="A34" s="582"/>
      <c r="B34" s="579"/>
      <c r="C34" s="577"/>
      <c r="D34" s="991" t="s">
        <v>197</v>
      </c>
      <c r="E34" s="186"/>
      <c r="F34" s="501" t="str" cm="1">
        <f t="array" ref="F34">IFERROR((_xlfn.IFS(E34=$S$11,"3",E34=$S$12,"1",E34=$S$13,"1"))*C34,"")</f>
        <v/>
      </c>
      <c r="G34" s="212"/>
      <c r="H34" s="1121" t="str">
        <f>IFERROR(VLOOKUP($A34&amp;"|"&amp;B34&amp;"|"&amp;D34,'Carbon factors'!$EJ$7:$EK$46,2,0),"")</f>
        <v/>
      </c>
      <c r="I34" s="587" t="str">
        <f t="shared" si="0"/>
        <v/>
      </c>
      <c r="J34" s="498" t="s">
        <v>192</v>
      </c>
      <c r="L34" s="1297" t="str">
        <f>IFERROR(($C34*(VLOOKUP($A34&amp;"|"&amp;$B34&amp;"|"&amp;$D34,'Carbon factors'!$EJ$7:$EN$46,3,0))),"")</f>
        <v/>
      </c>
      <c r="M34" s="183" t="str">
        <f>IFERROR(($C34*(VLOOKUP($A34&amp;"|"&amp;$B34&amp;"|"&amp;$D34,'Carbon factors'!$EJ$7:$EN$46,4,0))),"")</f>
        <v/>
      </c>
      <c r="N34" s="1296" t="str">
        <f>IFERROR(($C34*(VLOOKUP($A34&amp;"|"&amp;$B34&amp;"|"&amp;$D34,'Carbon factors'!$EJ$7:$EN$46,5,0))),"")</f>
        <v/>
      </c>
      <c r="P34" s="261"/>
      <c r="Q34" s="159"/>
      <c r="R34" s="158" t="s">
        <v>1100</v>
      </c>
      <c r="S34" s="524"/>
    </row>
    <row r="35" spans="1:19" x14ac:dyDescent="0.35">
      <c r="A35" s="582"/>
      <c r="B35" s="579"/>
      <c r="C35" s="577"/>
      <c r="D35" s="991" t="s">
        <v>197</v>
      </c>
      <c r="E35" s="186"/>
      <c r="F35" s="501" t="str" cm="1">
        <f t="array" ref="F35">IFERROR((_xlfn.IFS(E35=$S$11,"3",E35=$S$12,"1",E35=$S$13,"1"))*C35,"")</f>
        <v/>
      </c>
      <c r="G35" s="212"/>
      <c r="H35" s="1121" t="str">
        <f>IFERROR(VLOOKUP($A35&amp;"|"&amp;B35&amp;"|"&amp;D35,'Carbon factors'!$EJ$7:$EK$46,2,0),"")</f>
        <v/>
      </c>
      <c r="I35" s="587" t="str">
        <f t="shared" si="0"/>
        <v/>
      </c>
      <c r="J35" s="498" t="s">
        <v>192</v>
      </c>
      <c r="L35" s="1297" t="str">
        <f>IFERROR(($C35*(VLOOKUP($A35&amp;"|"&amp;$B35&amp;"|"&amp;$D35,'Carbon factors'!$EJ$7:$EN$46,3,0))),"")</f>
        <v/>
      </c>
      <c r="M35" s="183" t="str">
        <f>IFERROR(($C35*(VLOOKUP($A35&amp;"|"&amp;$B35&amp;"|"&amp;$D35,'Carbon factors'!$EJ$7:$EN$46,4,0))),"")</f>
        <v/>
      </c>
      <c r="N35" s="1296" t="str">
        <f>IFERROR(($C35*(VLOOKUP($A35&amp;"|"&amp;$B35&amp;"|"&amp;$D35,'Carbon factors'!$EJ$7:$EN$46,5,0))),"")</f>
        <v/>
      </c>
      <c r="P35" s="261"/>
      <c r="Q35" s="159"/>
      <c r="R35" s="158" t="s">
        <v>1101</v>
      </c>
      <c r="S35" s="524"/>
    </row>
    <row r="36" spans="1:19" x14ac:dyDescent="0.35">
      <c r="A36" s="582"/>
      <c r="B36" s="579"/>
      <c r="C36" s="577"/>
      <c r="D36" s="991" t="s">
        <v>197</v>
      </c>
      <c r="E36" s="186"/>
      <c r="F36" s="501" t="str" cm="1">
        <f t="array" ref="F36">IFERROR((_xlfn.IFS(E36=$S$11,"3",E36=$S$12,"1",E36=$S$13,"1"))*C36,"")</f>
        <v/>
      </c>
      <c r="G36" s="212"/>
      <c r="H36" s="1121" t="str">
        <f>IFERROR(VLOOKUP($A36&amp;"|"&amp;B36&amp;"|"&amp;D36,'Carbon factors'!$EJ$7:$EK$46,2,0),"")</f>
        <v/>
      </c>
      <c r="I36" s="587" t="str">
        <f t="shared" si="0"/>
        <v/>
      </c>
      <c r="J36" s="498" t="s">
        <v>192</v>
      </c>
      <c r="L36" s="1297" t="str">
        <f>IFERROR(($C36*(VLOOKUP($A36&amp;"|"&amp;$B36&amp;"|"&amp;$D36,'Carbon factors'!$EJ$7:$EN$46,3,0))),"")</f>
        <v/>
      </c>
      <c r="M36" s="183" t="str">
        <f>IFERROR(($C36*(VLOOKUP($A36&amp;"|"&amp;$B36&amp;"|"&amp;$D36,'Carbon factors'!$EJ$7:$EN$46,4,0))),"")</f>
        <v/>
      </c>
      <c r="N36" s="1296" t="str">
        <f>IFERROR(($C36*(VLOOKUP($A36&amp;"|"&amp;$B36&amp;"|"&amp;$D36,'Carbon factors'!$EJ$7:$EN$46,5,0))),"")</f>
        <v/>
      </c>
      <c r="P36" s="261"/>
      <c r="Q36" s="159"/>
      <c r="R36" s="158" t="s">
        <v>1102</v>
      </c>
      <c r="S36" s="524"/>
    </row>
    <row r="37" spans="1:19" x14ac:dyDescent="0.35">
      <c r="A37" s="582"/>
      <c r="B37" s="579"/>
      <c r="C37" s="577"/>
      <c r="D37" s="991" t="s">
        <v>197</v>
      </c>
      <c r="E37" s="186"/>
      <c r="F37" s="501" t="str" cm="1">
        <f t="array" ref="F37">IFERROR((_xlfn.IFS(E37=$S$11,"3",E37=$S$12,"1",E37=$S$13,"1"))*C37,"")</f>
        <v/>
      </c>
      <c r="G37" s="212"/>
      <c r="H37" s="1121" t="str">
        <f>IFERROR(VLOOKUP($A37&amp;"|"&amp;B37&amp;"|"&amp;D37,'Carbon factors'!$EJ$7:$EK$46,2,0),"")</f>
        <v/>
      </c>
      <c r="I37" s="587" t="str">
        <f t="shared" si="0"/>
        <v/>
      </c>
      <c r="J37" s="498" t="s">
        <v>192</v>
      </c>
      <c r="L37" s="1297" t="str">
        <f>IFERROR(($C37*(VLOOKUP($A37&amp;"|"&amp;$B37&amp;"|"&amp;$D37,'Carbon factors'!$EJ$7:$EN$46,3,0))),"")</f>
        <v/>
      </c>
      <c r="M37" s="183" t="str">
        <f>IFERROR(($C37*(VLOOKUP($A37&amp;"|"&amp;$B37&amp;"|"&amp;$D37,'Carbon factors'!$EJ$7:$EN$46,4,0))),"")</f>
        <v/>
      </c>
      <c r="N37" s="1296" t="str">
        <f>IFERROR(($C37*(VLOOKUP($A37&amp;"|"&amp;$B37&amp;"|"&amp;$D37,'Carbon factors'!$EJ$7:$EN$46,5,0))),"")</f>
        <v/>
      </c>
      <c r="P37" s="261"/>
      <c r="Q37" s="159"/>
      <c r="R37" s="158" t="s">
        <v>1103</v>
      </c>
      <c r="S37" s="524"/>
    </row>
    <row r="38" spans="1:19" x14ac:dyDescent="0.35">
      <c r="A38" s="582"/>
      <c r="B38" s="579"/>
      <c r="C38" s="577"/>
      <c r="D38" s="991" t="s">
        <v>197</v>
      </c>
      <c r="E38" s="186"/>
      <c r="F38" s="501" t="str" cm="1">
        <f t="array" ref="F38">IFERROR((_xlfn.IFS(E38=$S$11,"3",E38=$S$12,"1",E38=$S$13,"1"))*C38,"")</f>
        <v/>
      </c>
      <c r="G38" s="212"/>
      <c r="H38" s="1121" t="str">
        <f>IFERROR(VLOOKUP($A38&amp;"|"&amp;B38&amp;"|"&amp;D38,'Carbon factors'!$EJ$7:$EK$46,2,0),"")</f>
        <v/>
      </c>
      <c r="I38" s="587" t="str">
        <f t="shared" si="0"/>
        <v/>
      </c>
      <c r="J38" s="498" t="s">
        <v>192</v>
      </c>
      <c r="L38" s="1297" t="str">
        <f>IFERROR(($C38*(VLOOKUP($A38&amp;"|"&amp;$B38&amp;"|"&amp;$D38,'Carbon factors'!$EJ$7:$EN$46,3,0))),"")</f>
        <v/>
      </c>
      <c r="M38" s="183" t="str">
        <f>IFERROR(($C38*(VLOOKUP($A38&amp;"|"&amp;$B38&amp;"|"&amp;$D38,'Carbon factors'!$EJ$7:$EN$46,4,0))),"")</f>
        <v/>
      </c>
      <c r="N38" s="1296" t="str">
        <f>IFERROR(($C38*(VLOOKUP($A38&amp;"|"&amp;$B38&amp;"|"&amp;$D38,'Carbon factors'!$EJ$7:$EN$46,5,0))),"")</f>
        <v/>
      </c>
      <c r="P38" s="261"/>
      <c r="Q38" s="159"/>
      <c r="R38" s="158" t="s">
        <v>1104</v>
      </c>
      <c r="S38" s="524"/>
    </row>
    <row r="39" spans="1:19" x14ac:dyDescent="0.35">
      <c r="A39" s="582"/>
      <c r="B39" s="579"/>
      <c r="C39" s="577"/>
      <c r="D39" s="991" t="s">
        <v>197</v>
      </c>
      <c r="E39" s="186"/>
      <c r="F39" s="501" t="str" cm="1">
        <f t="array" ref="F39">IFERROR((_xlfn.IFS(E39=$S$11,"3",E39=$S$12,"1",E39=$S$13,"1"))*C39,"")</f>
        <v/>
      </c>
      <c r="G39" s="212"/>
      <c r="H39" s="1121" t="str">
        <f>IFERROR(VLOOKUP($A39&amp;"|"&amp;B39&amp;"|"&amp;D39,'Carbon factors'!$EJ$7:$EK$46,2,0),"")</f>
        <v/>
      </c>
      <c r="I39" s="587" t="str">
        <f t="shared" si="0"/>
        <v/>
      </c>
      <c r="J39" s="498" t="s">
        <v>192</v>
      </c>
      <c r="L39" s="1297" t="str">
        <f>IFERROR(($C39*(VLOOKUP($A39&amp;"|"&amp;$B39&amp;"|"&amp;$D39,'Carbon factors'!$EJ$7:$EN$46,3,0))),"")</f>
        <v/>
      </c>
      <c r="M39" s="183" t="str">
        <f>IFERROR(($C39*(VLOOKUP($A39&amp;"|"&amp;$B39&amp;"|"&amp;$D39,'Carbon factors'!$EJ$7:$EN$46,4,0))),"")</f>
        <v/>
      </c>
      <c r="N39" s="1296" t="str">
        <f>IFERROR(($C39*(VLOOKUP($A39&amp;"|"&amp;$B39&amp;"|"&amp;$D39,'Carbon factors'!$EJ$7:$EN$46,5,0))),"")</f>
        <v/>
      </c>
      <c r="P39" s="261"/>
      <c r="Q39" s="159"/>
      <c r="R39" s="158" t="s">
        <v>1105</v>
      </c>
      <c r="S39" s="524"/>
    </row>
    <row r="40" spans="1:19" ht="15" thickBot="1" x14ac:dyDescent="0.4">
      <c r="A40" s="582"/>
      <c r="B40" s="579"/>
      <c r="C40" s="577"/>
      <c r="D40" s="991" t="s">
        <v>197</v>
      </c>
      <c r="E40" s="186"/>
      <c r="F40" s="501" t="str" cm="1">
        <f t="array" ref="F40">IFERROR((_xlfn.IFS(E40=$S$11,"3",E40=$S$12,"1",E40=$S$13,"1"))*C40,"")</f>
        <v/>
      </c>
      <c r="G40" s="212"/>
      <c r="H40" s="1121" t="str">
        <f>IFERROR(VLOOKUP($A40&amp;"|"&amp;B40&amp;"|"&amp;D40,'Carbon factors'!$EJ$7:$EK$46,2,0),"")</f>
        <v/>
      </c>
      <c r="I40" s="587" t="str">
        <f t="shared" si="0"/>
        <v/>
      </c>
      <c r="J40" s="498" t="s">
        <v>192</v>
      </c>
      <c r="L40" s="1297" t="str">
        <f>IFERROR(($C40*(VLOOKUP($A40&amp;"|"&amp;$B40&amp;"|"&amp;$D40,'Carbon factors'!$EJ$7:$EN$46,3,0))),"")</f>
        <v/>
      </c>
      <c r="M40" s="183" t="str">
        <f>IFERROR(($C40*(VLOOKUP($A40&amp;"|"&amp;$B40&amp;"|"&amp;$D40,'Carbon factors'!$EJ$7:$EN$46,4,0))),"")</f>
        <v/>
      </c>
      <c r="N40" s="1296" t="str">
        <f>IFERROR(($C40*(VLOOKUP($A40&amp;"|"&amp;$B40&amp;"|"&amp;$D40,'Carbon factors'!$EJ$7:$EN$46,5,0))),"")</f>
        <v/>
      </c>
      <c r="P40" s="527"/>
      <c r="Q40" s="551"/>
      <c r="R40" s="158" t="s">
        <v>1106</v>
      </c>
      <c r="S40" s="528"/>
    </row>
    <row r="41" spans="1:19" ht="15" thickBot="1" x14ac:dyDescent="0.4">
      <c r="A41" s="582"/>
      <c r="B41" s="579"/>
      <c r="C41" s="577"/>
      <c r="D41" s="991" t="s">
        <v>197</v>
      </c>
      <c r="E41" s="186"/>
      <c r="F41" s="501" t="str" cm="1">
        <f t="array" ref="F41">IFERROR((_xlfn.IFS(E41=$S$11,"3",E41=$S$12,"1",E41=$S$13,"1"))*C41,"")</f>
        <v/>
      </c>
      <c r="G41" s="212"/>
      <c r="H41" s="1121" t="str">
        <f>IFERROR(VLOOKUP($A41&amp;"|"&amp;B41&amp;"|"&amp;D41,'Carbon factors'!$EJ$7:$EK$46,2,0),"")</f>
        <v/>
      </c>
      <c r="I41" s="587" t="str">
        <f t="shared" si="0"/>
        <v/>
      </c>
      <c r="J41" s="498" t="s">
        <v>192</v>
      </c>
      <c r="L41" s="1297" t="str">
        <f>IFERROR(($C41*(VLOOKUP($A41&amp;"|"&amp;$B41&amp;"|"&amp;$D41,'Carbon factors'!$EJ$7:$EN$46,3,0))),"")</f>
        <v/>
      </c>
      <c r="M41" s="183" t="str">
        <f>IFERROR(($C41*(VLOOKUP($A41&amp;"|"&amp;$B41&amp;"|"&amp;$D41,'Carbon factors'!$EJ$7:$EN$46,4,0))),"")</f>
        <v/>
      </c>
      <c r="N41" s="1296" t="str">
        <f>IFERROR(($C41*(VLOOKUP($A41&amp;"|"&amp;$B41&amp;"|"&amp;$D41,'Carbon factors'!$EJ$7:$EN$46,5,0))),"")</f>
        <v/>
      </c>
      <c r="P41" s="7"/>
      <c r="Q41" s="7"/>
      <c r="R41" s="250" t="s">
        <v>1107</v>
      </c>
      <c r="S41" s="7"/>
    </row>
    <row r="42" spans="1:19" x14ac:dyDescent="0.35">
      <c r="A42" s="582"/>
      <c r="B42" s="579"/>
      <c r="C42" s="577"/>
      <c r="D42" s="991" t="s">
        <v>197</v>
      </c>
      <c r="E42" s="186"/>
      <c r="F42" s="501" t="str" cm="1">
        <f t="array" ref="F42">IFERROR((_xlfn.IFS(E42=$S$11,"3",E42=$S$12,"1",E42=$S$13,"1"))*C42,"")</f>
        <v/>
      </c>
      <c r="G42" s="212"/>
      <c r="H42" s="1121" t="str">
        <f>IFERROR(VLOOKUP($A42&amp;"|"&amp;B42&amp;"|"&amp;D42,'Carbon factors'!$EJ$7:$EK$46,2,0),"")</f>
        <v/>
      </c>
      <c r="I42" s="587" t="str">
        <f t="shared" si="0"/>
        <v/>
      </c>
      <c r="J42" s="498" t="s">
        <v>192</v>
      </c>
      <c r="L42" s="1297" t="str">
        <f>IFERROR(($C42*(VLOOKUP($A42&amp;"|"&amp;$B42&amp;"|"&amp;$D42,'Carbon factors'!$EJ$7:$EN$46,3,0))),"")</f>
        <v/>
      </c>
      <c r="M42" s="183" t="str">
        <f>IFERROR(($C42*(VLOOKUP($A42&amp;"|"&amp;$B42&amp;"|"&amp;$D42,'Carbon factors'!$EJ$7:$EN$46,4,0))),"")</f>
        <v/>
      </c>
      <c r="N42" s="1296" t="str">
        <f>IFERROR(($C42*(VLOOKUP($A42&amp;"|"&amp;$B42&amp;"|"&amp;$D42,'Carbon factors'!$EJ$7:$EN$46,5,0))),"")</f>
        <v/>
      </c>
      <c r="P42" s="7"/>
      <c r="Q42" s="7"/>
      <c r="R42" s="7"/>
      <c r="S42" s="7"/>
    </row>
    <row r="43" spans="1:19" x14ac:dyDescent="0.35">
      <c r="A43" s="582"/>
      <c r="B43" s="579"/>
      <c r="C43" s="577"/>
      <c r="D43" s="991" t="s">
        <v>197</v>
      </c>
      <c r="E43" s="186"/>
      <c r="F43" s="501" t="str" cm="1">
        <f t="array" ref="F43">IFERROR((_xlfn.IFS(E43=$S$11,"3",E43=$S$12,"1",E43=$S$13,"1"))*C43,"")</f>
        <v/>
      </c>
      <c r="G43" s="212"/>
      <c r="H43" s="1121" t="str">
        <f>IFERROR(VLOOKUP($A43&amp;"|"&amp;B43&amp;"|"&amp;D43,'Carbon factors'!$EJ$7:$EK$46,2,0),"")</f>
        <v/>
      </c>
      <c r="I43" s="587" t="str">
        <f t="shared" si="0"/>
        <v/>
      </c>
      <c r="J43" s="498" t="s">
        <v>192</v>
      </c>
      <c r="L43" s="1297" t="str">
        <f>IFERROR(($C43*(VLOOKUP($A43&amp;"|"&amp;$B43&amp;"|"&amp;$D43,'Carbon factors'!$EJ$7:$EN$46,3,0))),"")</f>
        <v/>
      </c>
      <c r="M43" s="183" t="str">
        <f>IFERROR(($C43*(VLOOKUP($A43&amp;"|"&amp;$B43&amp;"|"&amp;$D43,'Carbon factors'!$EJ$7:$EN$46,4,0))),"")</f>
        <v/>
      </c>
      <c r="N43" s="1296" t="str">
        <f>IFERROR(($C43*(VLOOKUP($A43&amp;"|"&amp;$B43&amp;"|"&amp;$D43,'Carbon factors'!$EJ$7:$EN$46,5,0))),"")</f>
        <v/>
      </c>
      <c r="P43" s="7"/>
      <c r="Q43" s="7"/>
      <c r="R43" s="7"/>
      <c r="S43" s="7"/>
    </row>
    <row r="44" spans="1:19" x14ac:dyDescent="0.35">
      <c r="A44" s="582"/>
      <c r="B44" s="579"/>
      <c r="C44" s="577"/>
      <c r="D44" s="991" t="s">
        <v>197</v>
      </c>
      <c r="E44" s="186"/>
      <c r="F44" s="501" t="str" cm="1">
        <f t="array" ref="F44">IFERROR((_xlfn.IFS(E44=$S$11,"3",E44=$S$12,"1",E44=$S$13,"1"))*C44,"")</f>
        <v/>
      </c>
      <c r="G44" s="212"/>
      <c r="H44" s="1121" t="str">
        <f>IFERROR(VLOOKUP($A44&amp;"|"&amp;B44&amp;"|"&amp;D44,'Carbon factors'!$EJ$7:$EK$46,2,0),"")</f>
        <v/>
      </c>
      <c r="I44" s="587" t="str">
        <f t="shared" si="0"/>
        <v/>
      </c>
      <c r="J44" s="498" t="s">
        <v>192</v>
      </c>
      <c r="L44" s="1297" t="str">
        <f>IFERROR(($C44*(VLOOKUP($A44&amp;"|"&amp;$B44&amp;"|"&amp;$D44,'Carbon factors'!$EJ$7:$EN$46,3,0))),"")</f>
        <v/>
      </c>
      <c r="M44" s="183" t="str">
        <f>IFERROR(($C44*(VLOOKUP($A44&amp;"|"&amp;$B44&amp;"|"&amp;$D44,'Carbon factors'!$EJ$7:$EN$46,4,0))),"")</f>
        <v/>
      </c>
      <c r="N44" s="1296" t="str">
        <f>IFERROR(($C44*(VLOOKUP($A44&amp;"|"&amp;$B44&amp;"|"&amp;$D44,'Carbon factors'!$EJ$7:$EN$46,5,0))),"")</f>
        <v/>
      </c>
      <c r="P44" s="7"/>
      <c r="Q44" s="7"/>
      <c r="R44" s="7"/>
      <c r="S44" s="7"/>
    </row>
    <row r="45" spans="1:19" x14ac:dyDescent="0.35">
      <c r="A45" s="582"/>
      <c r="B45" s="579"/>
      <c r="C45" s="577"/>
      <c r="D45" s="991" t="s">
        <v>197</v>
      </c>
      <c r="E45" s="186"/>
      <c r="F45" s="501" t="str" cm="1">
        <f t="array" ref="F45">IFERROR((_xlfn.IFS(E45=$S$11,"3",E45=$S$12,"1",E45=$S$13,"1"))*C45,"")</f>
        <v/>
      </c>
      <c r="G45" s="212"/>
      <c r="H45" s="1121" t="str">
        <f>IFERROR(VLOOKUP($A45&amp;"|"&amp;B45&amp;"|"&amp;D45,'Carbon factors'!$EJ$7:$EK$46,2,0),"")</f>
        <v/>
      </c>
      <c r="I45" s="587" t="str">
        <f t="shared" si="0"/>
        <v/>
      </c>
      <c r="J45" s="498" t="s">
        <v>192</v>
      </c>
      <c r="L45" s="1297" t="str">
        <f>IFERROR(($C45*(VLOOKUP($A45&amp;"|"&amp;$B45&amp;"|"&amp;$D45,'Carbon factors'!$EJ$7:$EN$46,3,0))),"")</f>
        <v/>
      </c>
      <c r="M45" s="183" t="str">
        <f>IFERROR(($C45*(VLOOKUP($A45&amp;"|"&amp;$B45&amp;"|"&amp;$D45,'Carbon factors'!$EJ$7:$EN$46,4,0))),"")</f>
        <v/>
      </c>
      <c r="N45" s="1296" t="str">
        <f>IFERROR(($C45*(VLOOKUP($A45&amp;"|"&amp;$B45&amp;"|"&amp;$D45,'Carbon factors'!$EJ$7:$EN$46,5,0))),"")</f>
        <v/>
      </c>
      <c r="P45" s="7"/>
      <c r="Q45" s="7"/>
      <c r="R45" s="7"/>
      <c r="S45" s="7"/>
    </row>
    <row r="46" spans="1:19" x14ac:dyDescent="0.35">
      <c r="A46" s="582"/>
      <c r="B46" s="579"/>
      <c r="C46" s="577"/>
      <c r="D46" s="991" t="s">
        <v>197</v>
      </c>
      <c r="E46" s="186"/>
      <c r="F46" s="501" t="str" cm="1">
        <f t="array" ref="F46">IFERROR((_xlfn.IFS(E46=$S$11,"3",E46=$S$12,"1",E46=$S$13,"1"))*C46,"")</f>
        <v/>
      </c>
      <c r="G46" s="212"/>
      <c r="H46" s="1121" t="str">
        <f>IFERROR(VLOOKUP($A46&amp;"|"&amp;B46&amp;"|"&amp;D46,'Carbon factors'!$EJ$7:$EK$46,2,0),"")</f>
        <v/>
      </c>
      <c r="I46" s="587" t="str">
        <f t="shared" si="0"/>
        <v/>
      </c>
      <c r="J46" s="498" t="s">
        <v>192</v>
      </c>
      <c r="L46" s="1297" t="str">
        <f>IFERROR(($C46*(VLOOKUP($A46&amp;"|"&amp;$B46&amp;"|"&amp;$D46,'Carbon factors'!$EJ$7:$EN$46,3,0))),"")</f>
        <v/>
      </c>
      <c r="M46" s="183" t="str">
        <f>IFERROR(($C46*(VLOOKUP($A46&amp;"|"&amp;$B46&amp;"|"&amp;$D46,'Carbon factors'!$EJ$7:$EN$46,4,0))),"")</f>
        <v/>
      </c>
      <c r="N46" s="1296" t="str">
        <f>IFERROR(($C46*(VLOOKUP($A46&amp;"|"&amp;$B46&amp;"|"&amp;$D46,'Carbon factors'!$EJ$7:$EN$46,5,0))),"")</f>
        <v/>
      </c>
      <c r="P46" s="7"/>
      <c r="Q46" s="7"/>
      <c r="R46" s="7"/>
      <c r="S46" s="7"/>
    </row>
    <row r="47" spans="1:19" x14ac:dyDescent="0.35">
      <c r="A47" s="582"/>
      <c r="B47" s="579"/>
      <c r="C47" s="577"/>
      <c r="D47" s="991" t="s">
        <v>197</v>
      </c>
      <c r="E47" s="186"/>
      <c r="F47" s="501" t="str" cm="1">
        <f t="array" ref="F47">IFERROR((_xlfn.IFS(E47=$S$11,"3",E47=$S$12,"1",E47=$S$13,"1"))*C47,"")</f>
        <v/>
      </c>
      <c r="G47" s="212"/>
      <c r="H47" s="1121" t="str">
        <f>IFERROR(VLOOKUP($A47&amp;"|"&amp;B47&amp;"|"&amp;D47,'Carbon factors'!$EJ$7:$EK$46,2,0),"")</f>
        <v/>
      </c>
      <c r="I47" s="587" t="str">
        <f t="shared" si="0"/>
        <v/>
      </c>
      <c r="J47" s="498" t="s">
        <v>192</v>
      </c>
      <c r="L47" s="1297" t="str">
        <f>IFERROR(($C47*(VLOOKUP($A47&amp;"|"&amp;$B47&amp;"|"&amp;$D47,'Carbon factors'!$EJ$7:$EN$46,3,0))),"")</f>
        <v/>
      </c>
      <c r="M47" s="183" t="str">
        <f>IFERROR(($C47*(VLOOKUP($A47&amp;"|"&amp;$B47&amp;"|"&amp;$D47,'Carbon factors'!$EJ$7:$EN$46,4,0))),"")</f>
        <v/>
      </c>
      <c r="N47" s="1296" t="str">
        <f>IFERROR(($C47*(VLOOKUP($A47&amp;"|"&amp;$B47&amp;"|"&amp;$D47,'Carbon factors'!$EJ$7:$EN$46,5,0))),"")</f>
        <v/>
      </c>
      <c r="P47" s="7"/>
      <c r="Q47" s="7"/>
      <c r="R47" s="7"/>
      <c r="S47" s="7"/>
    </row>
    <row r="48" spans="1:19" x14ac:dyDescent="0.35">
      <c r="A48" s="582"/>
      <c r="B48" s="579"/>
      <c r="C48" s="577"/>
      <c r="D48" s="991" t="s">
        <v>197</v>
      </c>
      <c r="E48" s="186"/>
      <c r="F48" s="501" t="str" cm="1">
        <f t="array" ref="F48">IFERROR((_xlfn.IFS(E48=$S$11,"3",E48=$S$12,"1",E48=$S$13,"1"))*C48,"")</f>
        <v/>
      </c>
      <c r="G48" s="212"/>
      <c r="H48" s="1121" t="str">
        <f>IFERROR(VLOOKUP($A48&amp;"|"&amp;B48&amp;"|"&amp;D48,'Carbon factors'!$EJ$7:$EK$46,2,0),"")</f>
        <v/>
      </c>
      <c r="I48" s="587" t="str">
        <f t="shared" si="0"/>
        <v/>
      </c>
      <c r="J48" s="498" t="s">
        <v>192</v>
      </c>
      <c r="L48" s="1297" t="str">
        <f>IFERROR(($C48*(VLOOKUP($A48&amp;"|"&amp;$B48&amp;"|"&amp;$D48,'Carbon factors'!$EJ$7:$EN$46,3,0))),"")</f>
        <v/>
      </c>
      <c r="M48" s="183" t="str">
        <f>IFERROR(($C48*(VLOOKUP($A48&amp;"|"&amp;$B48&amp;"|"&amp;$D48,'Carbon factors'!$EJ$7:$EN$46,4,0))),"")</f>
        <v/>
      </c>
      <c r="N48" s="1296" t="str">
        <f>IFERROR(($C48*(VLOOKUP($A48&amp;"|"&amp;$B48&amp;"|"&amp;$D48,'Carbon factors'!$EJ$7:$EN$46,5,0))),"")</f>
        <v/>
      </c>
      <c r="P48" s="7"/>
      <c r="Q48" s="7"/>
      <c r="R48" s="7"/>
      <c r="S48" s="7"/>
    </row>
    <row r="49" spans="1:19" x14ac:dyDescent="0.35">
      <c r="A49" s="582"/>
      <c r="B49" s="579"/>
      <c r="C49" s="577"/>
      <c r="D49" s="991" t="s">
        <v>197</v>
      </c>
      <c r="E49" s="186"/>
      <c r="F49" s="501" t="str" cm="1">
        <f t="array" ref="F49">IFERROR((_xlfn.IFS(E49=$S$11,"3",E49=$S$12,"1",E49=$S$13,"1"))*C49,"")</f>
        <v/>
      </c>
      <c r="G49" s="212"/>
      <c r="H49" s="1121" t="str">
        <f>IFERROR(VLOOKUP($A49&amp;"|"&amp;B49&amp;"|"&amp;D49,'Carbon factors'!$EJ$7:$EK$46,2,0),"")</f>
        <v/>
      </c>
      <c r="I49" s="587" t="str">
        <f t="shared" si="0"/>
        <v/>
      </c>
      <c r="J49" s="498" t="s">
        <v>192</v>
      </c>
      <c r="L49" s="1297" t="str">
        <f>IFERROR(($C49*(VLOOKUP($A49&amp;"|"&amp;$B49&amp;"|"&amp;$D49,'Carbon factors'!$EJ$7:$EN$46,3,0))),"")</f>
        <v/>
      </c>
      <c r="M49" s="183" t="str">
        <f>IFERROR(($C49*(VLOOKUP($A49&amp;"|"&amp;$B49&amp;"|"&amp;$D49,'Carbon factors'!$EJ$7:$EN$46,4,0))),"")</f>
        <v/>
      </c>
      <c r="N49" s="1296" t="str">
        <f>IFERROR(($C49*(VLOOKUP($A49&amp;"|"&amp;$B49&amp;"|"&amp;$D49,'Carbon factors'!$EJ$7:$EN$46,5,0))),"")</f>
        <v/>
      </c>
      <c r="P49" s="7"/>
      <c r="Q49" s="7"/>
      <c r="R49" s="7"/>
      <c r="S49" s="7"/>
    </row>
    <row r="50" spans="1:19" x14ac:dyDescent="0.35">
      <c r="A50" s="582"/>
      <c r="B50" s="579"/>
      <c r="C50" s="577"/>
      <c r="D50" s="991" t="s">
        <v>197</v>
      </c>
      <c r="E50" s="186"/>
      <c r="F50" s="501" t="str" cm="1">
        <f t="array" ref="F50">IFERROR((_xlfn.IFS(E50=$S$11,"3",E50=$S$12,"1",E50=$S$13,"1"))*C50,"")</f>
        <v/>
      </c>
      <c r="G50" s="212"/>
      <c r="H50" s="1121" t="str">
        <f>IFERROR(VLOOKUP($A50&amp;"|"&amp;B50&amp;"|"&amp;D50,'Carbon factors'!$EJ$7:$EK$46,2,0),"")</f>
        <v/>
      </c>
      <c r="I50" s="587" t="str">
        <f t="shared" si="0"/>
        <v/>
      </c>
      <c r="J50" s="498" t="s">
        <v>192</v>
      </c>
      <c r="L50" s="1297" t="str">
        <f>IFERROR(($C50*(VLOOKUP($A50&amp;"|"&amp;$B50&amp;"|"&amp;$D50,'Carbon factors'!$EJ$7:$EN$46,3,0))),"")</f>
        <v/>
      </c>
      <c r="M50" s="183" t="str">
        <f>IFERROR(($C50*(VLOOKUP($A50&amp;"|"&amp;$B50&amp;"|"&amp;$D50,'Carbon factors'!$EJ$7:$EN$46,4,0))),"")</f>
        <v/>
      </c>
      <c r="N50" s="1296" t="str">
        <f>IFERROR(($C50*(VLOOKUP($A50&amp;"|"&amp;$B50&amp;"|"&amp;$D50,'Carbon factors'!$EJ$7:$EN$46,5,0))),"")</f>
        <v/>
      </c>
      <c r="P50" s="7"/>
      <c r="Q50" s="7"/>
      <c r="R50" s="7"/>
      <c r="S50" s="7"/>
    </row>
    <row r="51" spans="1:19" x14ac:dyDescent="0.35">
      <c r="A51" s="582"/>
      <c r="B51" s="579"/>
      <c r="C51" s="577"/>
      <c r="D51" s="991" t="s">
        <v>197</v>
      </c>
      <c r="E51" s="186"/>
      <c r="F51" s="501" t="str" cm="1">
        <f t="array" ref="F51">IFERROR((_xlfn.IFS(E51=$S$11,"3",E51=$S$12,"1",E51=$S$13,"1"))*C51,"")</f>
        <v/>
      </c>
      <c r="G51" s="212"/>
      <c r="H51" s="1121" t="str">
        <f>IFERROR(VLOOKUP($A51&amp;"|"&amp;B51&amp;"|"&amp;D51,'Carbon factors'!$EJ$7:$EK$46,2,0),"")</f>
        <v/>
      </c>
      <c r="I51" s="587" t="str">
        <f t="shared" si="0"/>
        <v/>
      </c>
      <c r="J51" s="498" t="s">
        <v>192</v>
      </c>
      <c r="L51" s="1297" t="str">
        <f>IFERROR(($C51*(VLOOKUP($A51&amp;"|"&amp;$B51&amp;"|"&amp;$D51,'Carbon factors'!$EJ$7:$EN$46,3,0))),"")</f>
        <v/>
      </c>
      <c r="M51" s="183" t="str">
        <f>IFERROR(($C51*(VLOOKUP($A51&amp;"|"&amp;$B51&amp;"|"&amp;$D51,'Carbon factors'!$EJ$7:$EN$46,4,0))),"")</f>
        <v/>
      </c>
      <c r="N51" s="1296" t="str">
        <f>IFERROR(($C51*(VLOOKUP($A51&amp;"|"&amp;$B51&amp;"|"&amp;$D51,'Carbon factors'!$EJ$7:$EN$46,5,0))),"")</f>
        <v/>
      </c>
      <c r="P51" s="7"/>
      <c r="Q51" s="7"/>
      <c r="R51" s="7"/>
      <c r="S51" s="7"/>
    </row>
    <row r="52" spans="1:19" x14ac:dyDescent="0.35">
      <c r="A52" s="582"/>
      <c r="B52" s="579"/>
      <c r="C52" s="577"/>
      <c r="D52" s="991" t="s">
        <v>197</v>
      </c>
      <c r="E52" s="186"/>
      <c r="F52" s="501" t="str" cm="1">
        <f t="array" ref="F52">IFERROR((_xlfn.IFS(E52=$S$11,"3",E52=$S$12,"1",E52=$S$13,"1"))*C52,"")</f>
        <v/>
      </c>
      <c r="G52" s="212"/>
      <c r="H52" s="1121" t="str">
        <f>IFERROR(VLOOKUP($A52&amp;"|"&amp;B52&amp;"|"&amp;D52,'Carbon factors'!$EJ$7:$EK$46,2,0),"")</f>
        <v/>
      </c>
      <c r="I52" s="587" t="str">
        <f t="shared" si="0"/>
        <v/>
      </c>
      <c r="J52" s="498" t="s">
        <v>192</v>
      </c>
      <c r="L52" s="1297" t="str">
        <f>IFERROR(($C52*(VLOOKUP($A52&amp;"|"&amp;$B52&amp;"|"&amp;$D52,'Carbon factors'!$EJ$7:$EN$46,3,0))),"")</f>
        <v/>
      </c>
      <c r="M52" s="183" t="str">
        <f>IFERROR(($C52*(VLOOKUP($A52&amp;"|"&amp;$B52&amp;"|"&amp;$D52,'Carbon factors'!$EJ$7:$EN$46,4,0))),"")</f>
        <v/>
      </c>
      <c r="N52" s="1296" t="str">
        <f>IFERROR(($C52*(VLOOKUP($A52&amp;"|"&amp;$B52&amp;"|"&amp;$D52,'Carbon factors'!$EJ$7:$EN$46,5,0))),"")</f>
        <v/>
      </c>
      <c r="P52" s="7"/>
      <c r="Q52" s="7"/>
      <c r="R52" s="7"/>
      <c r="S52" s="7"/>
    </row>
    <row r="53" spans="1:19" x14ac:dyDescent="0.35">
      <c r="A53" s="582"/>
      <c r="B53" s="579"/>
      <c r="C53" s="577"/>
      <c r="D53" s="991" t="s">
        <v>197</v>
      </c>
      <c r="E53" s="186"/>
      <c r="F53" s="501" t="str" cm="1">
        <f t="array" ref="F53">IFERROR((_xlfn.IFS(E53=$S$11,"3",E53=$S$12,"1",E53=$S$13,"1"))*C53,"")</f>
        <v/>
      </c>
      <c r="G53" s="212"/>
      <c r="H53" s="1121" t="str">
        <f>IFERROR(VLOOKUP($A53&amp;"|"&amp;B53&amp;"|"&amp;D53,'Carbon factors'!$EJ$7:$EK$46,2,0),"")</f>
        <v/>
      </c>
      <c r="I53" s="587" t="str">
        <f t="shared" si="0"/>
        <v/>
      </c>
      <c r="J53" s="498" t="s">
        <v>192</v>
      </c>
      <c r="L53" s="1297" t="str">
        <f>IFERROR(($C53*(VLOOKUP($A53&amp;"|"&amp;$B53&amp;"|"&amp;$D53,'Carbon factors'!$EJ$7:$EN$46,3,0))),"")</f>
        <v/>
      </c>
      <c r="M53" s="183" t="str">
        <f>IFERROR(($C53*(VLOOKUP($A53&amp;"|"&amp;$B53&amp;"|"&amp;$D53,'Carbon factors'!$EJ$7:$EN$46,4,0))),"")</f>
        <v/>
      </c>
      <c r="N53" s="1296" t="str">
        <f>IFERROR(($C53*(VLOOKUP($A53&amp;"|"&amp;$B53&amp;"|"&amp;$D53,'Carbon factors'!$EJ$7:$EN$46,5,0))),"")</f>
        <v/>
      </c>
      <c r="P53" s="7"/>
      <c r="Q53" s="7"/>
      <c r="R53" s="7"/>
      <c r="S53" s="7"/>
    </row>
    <row r="54" spans="1:19" x14ac:dyDescent="0.35">
      <c r="A54" s="582"/>
      <c r="B54" s="579"/>
      <c r="C54" s="577"/>
      <c r="D54" s="991" t="s">
        <v>197</v>
      </c>
      <c r="E54" s="186"/>
      <c r="F54" s="501" t="str" cm="1">
        <f t="array" ref="F54">IFERROR((_xlfn.IFS(E54=$S$11,"3",E54=$S$12,"1",E54=$S$13,"1"))*C54,"")</f>
        <v/>
      </c>
      <c r="G54" s="212"/>
      <c r="H54" s="1121" t="str">
        <f>IFERROR(VLOOKUP($A54&amp;"|"&amp;B54&amp;"|"&amp;D54,'Carbon factors'!$EJ$7:$EK$46,2,0),"")</f>
        <v/>
      </c>
      <c r="I54" s="587" t="str">
        <f t="shared" si="0"/>
        <v/>
      </c>
      <c r="J54" s="498" t="s">
        <v>192</v>
      </c>
      <c r="L54" s="1297" t="str">
        <f>IFERROR(($C54*(VLOOKUP($A54&amp;"|"&amp;$B54&amp;"|"&amp;$D54,'Carbon factors'!$EJ$7:$EN$46,3,0))),"")</f>
        <v/>
      </c>
      <c r="M54" s="183" t="str">
        <f>IFERROR(($C54*(VLOOKUP($A54&amp;"|"&amp;$B54&amp;"|"&amp;$D54,'Carbon factors'!$EJ$7:$EN$46,4,0))),"")</f>
        <v/>
      </c>
      <c r="N54" s="1296" t="str">
        <f>IFERROR(($C54*(VLOOKUP($A54&amp;"|"&amp;$B54&amp;"|"&amp;$D54,'Carbon factors'!$EJ$7:$EN$46,5,0))),"")</f>
        <v/>
      </c>
      <c r="P54" s="7"/>
      <c r="Q54" s="7"/>
      <c r="R54" s="7"/>
      <c r="S54" s="7"/>
    </row>
    <row r="55" spans="1:19" x14ac:dyDescent="0.35">
      <c r="A55" s="582"/>
      <c r="B55" s="579"/>
      <c r="C55" s="577"/>
      <c r="D55" s="991" t="s">
        <v>197</v>
      </c>
      <c r="E55" s="186"/>
      <c r="F55" s="501" t="str" cm="1">
        <f t="array" ref="F55">IFERROR((_xlfn.IFS(E55=$S$11,"3",E55=$S$12,"1",E55=$S$13,"1"))*C55,"")</f>
        <v/>
      </c>
      <c r="G55" s="212"/>
      <c r="H55" s="1121" t="str">
        <f>IFERROR(VLOOKUP($A55&amp;"|"&amp;B55&amp;"|"&amp;D55,'Carbon factors'!$EJ$7:$EK$46,2,0),"")</f>
        <v/>
      </c>
      <c r="I55" s="587" t="str">
        <f t="shared" si="0"/>
        <v/>
      </c>
      <c r="J55" s="498" t="s">
        <v>192</v>
      </c>
      <c r="L55" s="1297" t="str">
        <f>IFERROR(($C55*(VLOOKUP($A55&amp;"|"&amp;$B55&amp;"|"&amp;$D55,'Carbon factors'!$EJ$7:$EN$46,3,0))),"")</f>
        <v/>
      </c>
      <c r="M55" s="183" t="str">
        <f>IFERROR(($C55*(VLOOKUP($A55&amp;"|"&amp;$B55&amp;"|"&amp;$D55,'Carbon factors'!$EJ$7:$EN$46,4,0))),"")</f>
        <v/>
      </c>
      <c r="N55" s="1296" t="str">
        <f>IFERROR(($C55*(VLOOKUP($A55&amp;"|"&amp;$B55&amp;"|"&amp;$D55,'Carbon factors'!$EJ$7:$EN$46,5,0))),"")</f>
        <v/>
      </c>
      <c r="P55" s="7"/>
      <c r="Q55" s="7"/>
      <c r="R55" s="7"/>
      <c r="S55" s="7"/>
    </row>
    <row r="56" spans="1:19" x14ac:dyDescent="0.35">
      <c r="A56" s="582"/>
      <c r="B56" s="579"/>
      <c r="C56" s="577"/>
      <c r="D56" s="991" t="s">
        <v>197</v>
      </c>
      <c r="E56" s="186"/>
      <c r="F56" s="501" t="str" cm="1">
        <f t="array" ref="F56">IFERROR((_xlfn.IFS(E56=$S$11,"3",E56=$S$12,"1",E56=$S$13,"1"))*C56,"")</f>
        <v/>
      </c>
      <c r="G56" s="212"/>
      <c r="H56" s="1121" t="str">
        <f>IFERROR(VLOOKUP($A56&amp;"|"&amp;B56&amp;"|"&amp;D56,'Carbon factors'!$EJ$7:$EK$46,2,0),"")</f>
        <v/>
      </c>
      <c r="I56" s="587" t="str">
        <f t="shared" si="0"/>
        <v/>
      </c>
      <c r="J56" s="498" t="s">
        <v>192</v>
      </c>
      <c r="L56" s="1297" t="str">
        <f>IFERROR(($C56*(VLOOKUP($A56&amp;"|"&amp;$B56&amp;"|"&amp;$D56,'Carbon factors'!$EJ$7:$EN$46,3,0))),"")</f>
        <v/>
      </c>
      <c r="M56" s="183" t="str">
        <f>IFERROR(($C56*(VLOOKUP($A56&amp;"|"&amp;$B56&amp;"|"&amp;$D56,'Carbon factors'!$EJ$7:$EN$46,4,0))),"")</f>
        <v/>
      </c>
      <c r="N56" s="1296" t="str">
        <f>IFERROR(($C56*(VLOOKUP($A56&amp;"|"&amp;$B56&amp;"|"&amp;$D56,'Carbon factors'!$EJ$7:$EN$46,5,0))),"")</f>
        <v/>
      </c>
      <c r="P56" s="7"/>
      <c r="Q56" s="7"/>
      <c r="R56" s="7"/>
      <c r="S56" s="7"/>
    </row>
    <row r="57" spans="1:19" x14ac:dyDescent="0.35">
      <c r="A57" s="582"/>
      <c r="B57" s="579"/>
      <c r="C57" s="577"/>
      <c r="D57" s="991" t="s">
        <v>197</v>
      </c>
      <c r="E57" s="186"/>
      <c r="F57" s="501" t="str" cm="1">
        <f t="array" ref="F57">IFERROR((_xlfn.IFS(E57=$S$11,"3",E57=$S$12,"1",E57=$S$13,"1"))*C57,"")</f>
        <v/>
      </c>
      <c r="G57" s="212"/>
      <c r="H57" s="1121" t="str">
        <f>IFERROR(VLOOKUP($A57&amp;"|"&amp;B57&amp;"|"&amp;D57,'Carbon factors'!$EJ$7:$EK$46,2,0),"")</f>
        <v/>
      </c>
      <c r="I57" s="587" t="str">
        <f t="shared" si="0"/>
        <v/>
      </c>
      <c r="J57" s="498" t="s">
        <v>192</v>
      </c>
      <c r="L57" s="1297" t="str">
        <f>IFERROR(($C57*(VLOOKUP($A57&amp;"|"&amp;$B57&amp;"|"&amp;$D57,'Carbon factors'!$EJ$7:$EN$46,3,0))),"")</f>
        <v/>
      </c>
      <c r="M57" s="183" t="str">
        <f>IFERROR(($C57*(VLOOKUP($A57&amp;"|"&amp;$B57&amp;"|"&amp;$D57,'Carbon factors'!$EJ$7:$EN$46,4,0))),"")</f>
        <v/>
      </c>
      <c r="N57" s="1296" t="str">
        <f>IFERROR(($C57*(VLOOKUP($A57&amp;"|"&amp;$B57&amp;"|"&amp;$D57,'Carbon factors'!$EJ$7:$EN$46,5,0))),"")</f>
        <v/>
      </c>
      <c r="P57" s="7"/>
      <c r="Q57" s="7"/>
      <c r="S57" s="7"/>
    </row>
    <row r="58" spans="1:19" x14ac:dyDescent="0.35">
      <c r="A58" s="582"/>
      <c r="B58" s="579"/>
      <c r="C58" s="577"/>
      <c r="D58" s="991" t="s">
        <v>197</v>
      </c>
      <c r="E58" s="186"/>
      <c r="F58" s="501" t="str" cm="1">
        <f t="array" ref="F58">IFERROR((_xlfn.IFS(E58=$S$11,"3",E58=$S$12,"1",E58=$S$13,"1"))*C58,"")</f>
        <v/>
      </c>
      <c r="G58" s="212"/>
      <c r="H58" s="1121" t="str">
        <f>IFERROR(VLOOKUP($A58&amp;"|"&amp;B58&amp;"|"&amp;D58,'Carbon factors'!$EJ$7:$EK$46,2,0),"")</f>
        <v/>
      </c>
      <c r="I58" s="587" t="str">
        <f t="shared" si="0"/>
        <v/>
      </c>
      <c r="J58" s="498" t="s">
        <v>192</v>
      </c>
      <c r="L58" s="1297" t="str">
        <f>IFERROR(($C58*(VLOOKUP($A58&amp;"|"&amp;$B58&amp;"|"&amp;$D58,'Carbon factors'!$EJ$7:$EN$46,3,0))),"")</f>
        <v/>
      </c>
      <c r="M58" s="183" t="str">
        <f>IFERROR(($C58*(VLOOKUP($A58&amp;"|"&amp;$B58&amp;"|"&amp;$D58,'Carbon factors'!$EJ$7:$EN$46,4,0))),"")</f>
        <v/>
      </c>
      <c r="N58" s="1296" t="str">
        <f>IFERROR(($C58*(VLOOKUP($A58&amp;"|"&amp;$B58&amp;"|"&amp;$D58,'Carbon factors'!$EJ$7:$EN$46,5,0))),"")</f>
        <v/>
      </c>
      <c r="P58" s="7"/>
      <c r="Q58" s="7"/>
      <c r="S58" s="7"/>
    </row>
    <row r="59" spans="1:19" ht="15" thickBot="1" x14ac:dyDescent="0.4">
      <c r="A59" s="583"/>
      <c r="B59" s="580"/>
      <c r="C59" s="575"/>
      <c r="D59" s="992" t="s">
        <v>197</v>
      </c>
      <c r="E59" s="188"/>
      <c r="F59" s="502" t="str" cm="1">
        <f t="array" ref="F59">IFERROR((_xlfn.IFS(E59=$S$11,"3",E59=$S$12,"1",E59=$S$13,"1"))*C59,"")</f>
        <v/>
      </c>
      <c r="G59" s="213"/>
      <c r="H59" s="1122" t="str">
        <f>IFERROR(VLOOKUP($A59&amp;"|"&amp;B59&amp;"|"&amp;D59,'Carbon factors'!$EJ$7:$EK$46,2,0),"")</f>
        <v/>
      </c>
      <c r="I59" s="588" t="str">
        <f t="shared" si="0"/>
        <v/>
      </c>
      <c r="J59" s="499" t="s">
        <v>192</v>
      </c>
      <c r="L59" s="1455" t="str">
        <f>IFERROR(($C59*(VLOOKUP($A59&amp;"|"&amp;$B59&amp;"|"&amp;$D59,'Carbon factors'!$EJ$7:$EN$46,3,0))),"")</f>
        <v/>
      </c>
      <c r="M59" s="184" t="str">
        <f>IFERROR(($C59*(VLOOKUP($A59&amp;"|"&amp;$B59&amp;"|"&amp;$D59,'Carbon factors'!$EJ$7:$EN$46,4,0))),"")</f>
        <v/>
      </c>
      <c r="N59" s="1456" t="str">
        <f>IFERROR(($C59*(VLOOKUP($A59&amp;"|"&amp;$B59&amp;"|"&amp;$D59,'Carbon factors'!$EJ$7:$EN$46,5,0))),"")</f>
        <v/>
      </c>
      <c r="P59" s="7"/>
      <c r="Q59" s="7"/>
      <c r="S59" s="7"/>
    </row>
    <row r="60" spans="1:19" x14ac:dyDescent="0.35">
      <c r="G60" s="668"/>
      <c r="H60"/>
    </row>
  </sheetData>
  <sheetProtection algorithmName="SHA-512" hashValue="4qsYqpNXiOSl9eRxnnygusJRta0Jxk8XF8vP6w/D+GFzvL3yjzfpjm/nXWIeldOsNgfA1SPT2CeBmcgPBNNIjQ==" saltValue="NKYEHO3EiBBm9pM+4kjo8g==" spinCount="100000" sheet="1" objects="1" scenarios="1"/>
  <protectedRanges>
    <protectedRange sqref="G12:G59 H2 A12:C59 E12:E59" name="Range2_2"/>
  </protectedRanges>
  <mergeCells count="12">
    <mergeCell ref="P9:S9"/>
    <mergeCell ref="D7:E7"/>
    <mergeCell ref="D8:E8"/>
    <mergeCell ref="A1:B1"/>
    <mergeCell ref="A2:E2"/>
    <mergeCell ref="G2:G4"/>
    <mergeCell ref="A3:E3"/>
    <mergeCell ref="A4:E4"/>
    <mergeCell ref="H2:J4"/>
    <mergeCell ref="H6:J6"/>
    <mergeCell ref="H7:J7"/>
    <mergeCell ref="H8:J8"/>
  </mergeCells>
  <phoneticPr fontId="10" type="noConversion"/>
  <conditionalFormatting sqref="H12:H59">
    <cfRule type="cellIs" dxfId="34" priority="2" operator="equal">
      <formula>"Select appropriate fuel"</formula>
    </cfRule>
    <cfRule type="cellIs" dxfId="33" priority="3" operator="equal">
      <formula>"Error- use petrol"</formula>
    </cfRule>
    <cfRule type="cellIs" dxfId="32" priority="4" operator="equal">
      <formula>"Error-Use km"</formula>
    </cfRule>
    <cfRule type="cellIs" dxfId="31" priority="5" operator="equal">
      <formula>"Error- use Diesel"</formula>
    </cfRule>
  </conditionalFormatting>
  <conditionalFormatting sqref="I12:I59">
    <cfRule type="colorScale" priority="1">
      <colorScale>
        <cfvo type="min"/>
        <cfvo type="percentile" val="50"/>
        <cfvo type="max"/>
        <color rgb="FF00B050"/>
        <color rgb="FFFFEB84"/>
        <color rgb="FFFF0000"/>
      </colorScale>
    </cfRule>
  </conditionalFormatting>
  <dataValidations count="4">
    <dataValidation type="list" allowBlank="1" showInputMessage="1" showErrorMessage="1" sqref="E12:E59" xr:uid="{9CBA3DC5-0944-4951-BB7F-2D20BB016555}">
      <formula1>$S$11:$S$13</formula1>
    </dataValidation>
    <dataValidation type="list" allowBlank="1" showInputMessage="1" showErrorMessage="1" sqref="B12:B59" xr:uid="{FD601980-815A-4B93-A181-5BDA288EE847}">
      <formula1>$Q$11:$Q$12</formula1>
    </dataValidation>
    <dataValidation type="decimal" allowBlank="1" showInputMessage="1" showErrorMessage="1" errorTitle="Number only" error="Enter a number only" sqref="C12:C59" xr:uid="{08EDB34E-AD7B-4288-886C-67DD4CBD30D6}">
      <formula1>0</formula1>
      <formula2>100000000</formula2>
    </dataValidation>
    <dataValidation type="list" allowBlank="1" showInputMessage="1" showErrorMessage="1" sqref="A12:A59" xr:uid="{6D6C22D9-AEB9-4224-B83B-0E2BED846D5E}">
      <formula1>$R$11:$R$30</formula1>
    </dataValidation>
  </dataValidations>
  <pageMargins left="0.7" right="0.7" top="0.75" bottom="0.75" header="0.3" footer="0.3"/>
  <pageSetup paperSize="9" orientation="portrait" horizontalDpi="360" verticalDpi="36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BAD3C-6630-49E6-9564-6FB628F4D946}">
  <sheetPr codeName="Sheet15">
    <tabColor rgb="FF00B050"/>
  </sheetPr>
  <dimension ref="A1:N60"/>
  <sheetViews>
    <sheetView zoomScale="80" zoomScaleNormal="80" workbookViewId="0">
      <selection activeCell="A2" sqref="A2:D2"/>
    </sheetView>
  </sheetViews>
  <sheetFormatPr defaultColWidth="17.26953125" defaultRowHeight="14.5" x14ac:dyDescent="0.35"/>
  <cols>
    <col min="1" max="1" width="40.7265625" customWidth="1"/>
    <col min="2" max="2" width="22.7265625" customWidth="1"/>
    <col min="3" max="3" width="23.26953125" customWidth="1"/>
    <col min="4" max="4" width="38.81640625" customWidth="1"/>
    <col min="5" max="5" width="22.453125" customWidth="1"/>
    <col min="6" max="6" width="21.26953125" style="668" customWidth="1"/>
    <col min="7" max="7" width="30.7265625" customWidth="1"/>
    <col min="9" max="9" width="21.453125" style="668" customWidth="1"/>
    <col min="10" max="10" width="24.26953125" customWidth="1"/>
    <col min="11" max="11" width="25.453125" customWidth="1"/>
    <col min="12" max="12" width="26.453125" hidden="1" customWidth="1"/>
    <col min="13" max="13" width="12.54296875" hidden="1" customWidth="1"/>
    <col min="14" max="14" width="35.7265625" hidden="1" customWidth="1"/>
    <col min="15" max="15" width="29.453125" customWidth="1"/>
    <col min="16" max="16" width="16.453125" customWidth="1"/>
    <col min="17" max="17" width="35.26953125" customWidth="1"/>
    <col min="18" max="18" width="43.453125" customWidth="1"/>
    <col min="19" max="19" width="35" customWidth="1"/>
  </cols>
  <sheetData>
    <row r="1" spans="1:14" ht="41.25" customHeight="1" thickBot="1" x14ac:dyDescent="0.4">
      <c r="A1" s="1790" t="s">
        <v>415</v>
      </c>
      <c r="B1" s="1791"/>
    </row>
    <row r="2" spans="1:14" ht="18.75" customHeight="1" x14ac:dyDescent="0.35">
      <c r="A2" s="1815" t="s">
        <v>1108</v>
      </c>
      <c r="B2" s="1816"/>
      <c r="C2" s="1816"/>
      <c r="D2" s="1817"/>
      <c r="E2" s="4"/>
      <c r="F2" s="1943" t="s">
        <v>309</v>
      </c>
      <c r="G2" s="1768" t="s">
        <v>509</v>
      </c>
      <c r="H2" s="1769"/>
      <c r="I2" s="1769"/>
      <c r="J2" s="1770"/>
      <c r="K2" s="215"/>
      <c r="L2" s="215"/>
      <c r="M2" s="215"/>
    </row>
    <row r="3" spans="1:14" ht="49.5" customHeight="1" x14ac:dyDescent="0.35">
      <c r="A3" s="1818" t="s">
        <v>1109</v>
      </c>
      <c r="B3" s="1819"/>
      <c r="C3" s="1819"/>
      <c r="D3" s="1820"/>
      <c r="E3" s="4"/>
      <c r="F3" s="1944"/>
      <c r="G3" s="1771"/>
      <c r="H3" s="1772"/>
      <c r="I3" s="1772"/>
      <c r="J3" s="1773"/>
      <c r="K3" s="215"/>
      <c r="L3" s="215"/>
      <c r="M3" s="215"/>
    </row>
    <row r="4" spans="1:14" ht="21" customHeight="1" thickBot="1" x14ac:dyDescent="0.4">
      <c r="A4" s="1821" t="s">
        <v>1110</v>
      </c>
      <c r="B4" s="1822"/>
      <c r="C4" s="1822"/>
      <c r="D4" s="1823"/>
      <c r="E4" s="4"/>
      <c r="F4" s="1944"/>
      <c r="G4" s="1771"/>
      <c r="H4" s="1772"/>
      <c r="I4" s="1772"/>
      <c r="J4" s="1773"/>
      <c r="K4" s="215"/>
      <c r="L4" s="215"/>
      <c r="M4" s="215"/>
    </row>
    <row r="5" spans="1:14" ht="15" thickBot="1" x14ac:dyDescent="0.4">
      <c r="F5" s="1944"/>
      <c r="G5" s="1771"/>
      <c r="H5" s="1772"/>
      <c r="I5" s="1772"/>
      <c r="J5" s="1773"/>
    </row>
    <row r="6" spans="1:14" ht="29.5" thickBot="1" x14ac:dyDescent="0.4">
      <c r="A6" s="442" t="s">
        <v>206</v>
      </c>
      <c r="B6" s="443">
        <f>SUMIF(J11:J60, "Scope 3",I11:I60)/1000</f>
        <v>0</v>
      </c>
      <c r="C6" s="457" t="s">
        <v>976</v>
      </c>
      <c r="D6" s="419" t="s">
        <v>1111</v>
      </c>
      <c r="F6" s="1944"/>
      <c r="G6" s="1771"/>
      <c r="H6" s="1772"/>
      <c r="I6" s="1772"/>
      <c r="J6" s="1773"/>
    </row>
    <row r="7" spans="1:14" ht="76.5" customHeight="1" thickBot="1" x14ac:dyDescent="0.4">
      <c r="A7" s="458" t="s">
        <v>516</v>
      </c>
      <c r="B7" s="444" t="str">
        <f>IFERROR((SUM(F11:F60))/(SUM(I11:I60)*3),"")</f>
        <v/>
      </c>
      <c r="C7" s="459" t="s">
        <v>517</v>
      </c>
      <c r="D7" s="418" t="s">
        <v>647</v>
      </c>
      <c r="E7" s="417"/>
      <c r="F7" s="1945"/>
      <c r="G7" s="1774"/>
      <c r="H7" s="1775"/>
      <c r="I7" s="1775"/>
      <c r="J7" s="1776"/>
    </row>
    <row r="8" spans="1:14" ht="15" thickBot="1" x14ac:dyDescent="0.4"/>
    <row r="9" spans="1:14" s="4" customFormat="1" ht="30" customHeight="1" thickBot="1" x14ac:dyDescent="0.4">
      <c r="A9" s="456" t="s">
        <v>1112</v>
      </c>
      <c r="B9" s="171" t="s">
        <v>1113</v>
      </c>
      <c r="C9" s="171" t="s">
        <v>1088</v>
      </c>
      <c r="D9" s="171" t="s">
        <v>1114</v>
      </c>
      <c r="E9" s="171" t="s">
        <v>535</v>
      </c>
      <c r="F9" s="661" t="s">
        <v>536</v>
      </c>
      <c r="G9" s="234" t="s">
        <v>619</v>
      </c>
      <c r="H9" s="475" t="s">
        <v>542</v>
      </c>
      <c r="I9" s="661" t="s">
        <v>543</v>
      </c>
      <c r="J9" s="234" t="s">
        <v>544</v>
      </c>
      <c r="L9" s="1941" t="s">
        <v>325</v>
      </c>
      <c r="M9" s="1757"/>
      <c r="N9" s="1942"/>
    </row>
    <row r="10" spans="1:14" ht="44" thickBot="1" x14ac:dyDescent="0.4">
      <c r="A10" s="1214" t="s">
        <v>329</v>
      </c>
      <c r="B10" s="190" t="s">
        <v>329</v>
      </c>
      <c r="C10" s="190" t="s">
        <v>1115</v>
      </c>
      <c r="D10" s="190" t="s">
        <v>467</v>
      </c>
      <c r="E10" s="190" t="s">
        <v>329</v>
      </c>
      <c r="F10" s="665"/>
      <c r="G10" s="268" t="s">
        <v>991</v>
      </c>
      <c r="H10" s="477" t="s">
        <v>1116</v>
      </c>
      <c r="I10" s="662" t="s">
        <v>560</v>
      </c>
      <c r="J10" s="383" t="s">
        <v>561</v>
      </c>
      <c r="L10" s="453" t="s">
        <v>1117</v>
      </c>
      <c r="M10" s="454" t="s">
        <v>1088</v>
      </c>
      <c r="N10" s="455" t="s">
        <v>535</v>
      </c>
    </row>
    <row r="11" spans="1:14" x14ac:dyDescent="0.35">
      <c r="A11" s="897"/>
      <c r="B11" s="578"/>
      <c r="C11" s="435" t="str">
        <f>IFERROR(IF(B11="Petrol","Litres", IF(B11="Diesel", "Litres", "Kilogrammes")),"")</f>
        <v>Kilogrammes</v>
      </c>
      <c r="D11" s="578"/>
      <c r="E11" s="197"/>
      <c r="F11" s="500" t="str" cm="1">
        <f t="array" ref="F11">IFERROR((_xlfn.IFS(E11=$N$11,"3",E11=$N$12,"2",E11=$N$13,"1",E11=$N$14,"1"))*I11,"")</f>
        <v/>
      </c>
      <c r="G11" s="209"/>
      <c r="H11" s="1106" t="str">
        <f>IFERROR(VLOOKUP($B11,'Carbon factors'!$DV$7:$DW$23,2,0),"")</f>
        <v/>
      </c>
      <c r="I11" s="501" t="str">
        <f>IFERROR((H11*(D11)),"")</f>
        <v/>
      </c>
      <c r="J11" s="205" t="s">
        <v>192</v>
      </c>
      <c r="L11" s="451" t="s">
        <v>1118</v>
      </c>
      <c r="M11" s="452" t="s">
        <v>1119</v>
      </c>
      <c r="N11" s="255" t="s">
        <v>1033</v>
      </c>
    </row>
    <row r="12" spans="1:14" x14ac:dyDescent="0.35">
      <c r="A12" s="898"/>
      <c r="B12" s="579"/>
      <c r="C12" s="179" t="str">
        <f t="shared" ref="C12:C60" si="0">IFERROR(IF(B12="Petrol","Litres", IF(B12="Diesel", "Litres", "Kilogrammes")),"")</f>
        <v>Kilogrammes</v>
      </c>
      <c r="D12" s="579"/>
      <c r="E12" s="186"/>
      <c r="F12" s="501" t="str" cm="1">
        <f t="array" ref="F12">IFERROR((_xlfn.IFS(E12=$N$11,"3",E12=$N$12,"2",E12=$N$13,"1",E12=$N$14,"1"))*I12,"")</f>
        <v/>
      </c>
      <c r="G12" s="212"/>
      <c r="H12" s="1107" t="str">
        <f>IFERROR(VLOOKUP($B12,'Carbon factors'!$DV$7:$DW$23,2,0),"")</f>
        <v/>
      </c>
      <c r="I12" s="501" t="str">
        <f t="shared" ref="I12:I60" si="1">IFERROR((H12*(D12)),"")</f>
        <v/>
      </c>
      <c r="J12" s="181" t="s">
        <v>192</v>
      </c>
      <c r="L12" s="263" t="s">
        <v>1120</v>
      </c>
      <c r="M12" s="161" t="s">
        <v>993</v>
      </c>
      <c r="N12" s="158" t="s">
        <v>1036</v>
      </c>
    </row>
    <row r="13" spans="1:14" x14ac:dyDescent="0.35">
      <c r="A13" s="898"/>
      <c r="B13" s="579"/>
      <c r="C13" s="179" t="str">
        <f t="shared" si="0"/>
        <v>Kilogrammes</v>
      </c>
      <c r="D13" s="579"/>
      <c r="E13" s="186"/>
      <c r="F13" s="501" t="str" cm="1">
        <f t="array" ref="F13">IFERROR((_xlfn.IFS(E13=$N$11,"3",E13=$N$12,"2",E13=$N$13,"1",E13=$N$14,"1"))*I13,"")</f>
        <v/>
      </c>
      <c r="G13" s="212"/>
      <c r="H13" s="1107" t="str">
        <f>IFERROR(VLOOKUP($B13,'Carbon factors'!$DV$7:$DW$23,2,0),"")</f>
        <v/>
      </c>
      <c r="I13" s="501" t="str">
        <f t="shared" si="1"/>
        <v/>
      </c>
      <c r="J13" s="181" t="s">
        <v>192</v>
      </c>
      <c r="L13" s="263" t="s">
        <v>1121</v>
      </c>
      <c r="M13" s="161"/>
      <c r="N13" s="158" t="s">
        <v>817</v>
      </c>
    </row>
    <row r="14" spans="1:14" x14ac:dyDescent="0.35">
      <c r="A14" s="898"/>
      <c r="B14" s="579"/>
      <c r="C14" s="179" t="str">
        <f t="shared" si="0"/>
        <v>Kilogrammes</v>
      </c>
      <c r="D14" s="579"/>
      <c r="E14" s="186"/>
      <c r="F14" s="501" t="str" cm="1">
        <f t="array" ref="F14">IFERROR((_xlfn.IFS(E14=$N$11,"3",E14=$N$12,"2",E14=$N$13,"1",E14=$N$14,"1"))*I14,"")</f>
        <v/>
      </c>
      <c r="G14" s="212"/>
      <c r="H14" s="1107" t="str">
        <f>IFERROR(VLOOKUP($B14,'Carbon factors'!$DV$7:$DW$23,2,0),"")</f>
        <v/>
      </c>
      <c r="I14" s="501" t="str">
        <f t="shared" si="1"/>
        <v/>
      </c>
      <c r="J14" s="181" t="s">
        <v>192</v>
      </c>
      <c r="L14" s="263" t="s">
        <v>1122</v>
      </c>
      <c r="M14" s="161"/>
      <c r="N14" s="158" t="s">
        <v>820</v>
      </c>
    </row>
    <row r="15" spans="1:14" x14ac:dyDescent="0.35">
      <c r="A15" s="898"/>
      <c r="B15" s="579"/>
      <c r="C15" s="179" t="str">
        <f t="shared" si="0"/>
        <v>Kilogrammes</v>
      </c>
      <c r="D15" s="579"/>
      <c r="E15" s="186"/>
      <c r="F15" s="501" t="str" cm="1">
        <f t="array" ref="F15">IFERROR((_xlfn.IFS(E15=$N$11,"3",E15=$N$12,"2",E15=$N$13,"1",E15=$N$14,"1"))*I15,"")</f>
        <v/>
      </c>
      <c r="G15" s="212"/>
      <c r="H15" s="1107" t="str">
        <f>IFERROR(VLOOKUP($B15,'Carbon factors'!$DV$7:$DW$23,2,0),"")</f>
        <v/>
      </c>
      <c r="I15" s="501" t="str">
        <f t="shared" si="1"/>
        <v/>
      </c>
      <c r="J15" s="181" t="s">
        <v>192</v>
      </c>
      <c r="L15" s="263" t="s">
        <v>1123</v>
      </c>
      <c r="M15" s="161"/>
      <c r="N15" s="158"/>
    </row>
    <row r="16" spans="1:14" x14ac:dyDescent="0.35">
      <c r="A16" s="898"/>
      <c r="B16" s="579"/>
      <c r="C16" s="179" t="str">
        <f t="shared" si="0"/>
        <v>Kilogrammes</v>
      </c>
      <c r="D16" s="579"/>
      <c r="E16" s="186"/>
      <c r="F16" s="501" t="str" cm="1">
        <f t="array" ref="F16">IFERROR((_xlfn.IFS(E16=$N$11,"3",E16=$N$12,"2",E16=$N$13,"1",E16=$N$14,"1"))*I16,"")</f>
        <v/>
      </c>
      <c r="G16" s="212"/>
      <c r="H16" s="1107" t="str">
        <f>IFERROR(VLOOKUP($B16,'Carbon factors'!$DV$7:$DW$23,2,0),"")</f>
        <v/>
      </c>
      <c r="I16" s="501" t="str">
        <f t="shared" si="1"/>
        <v/>
      </c>
      <c r="J16" s="181" t="s">
        <v>192</v>
      </c>
      <c r="L16" s="263" t="s">
        <v>1124</v>
      </c>
      <c r="M16" s="161"/>
      <c r="N16" s="158"/>
    </row>
    <row r="17" spans="1:14" x14ac:dyDescent="0.35">
      <c r="A17" s="898"/>
      <c r="B17" s="579"/>
      <c r="C17" s="179" t="str">
        <f t="shared" si="0"/>
        <v>Kilogrammes</v>
      </c>
      <c r="D17" s="579"/>
      <c r="E17" s="186"/>
      <c r="F17" s="501" t="str" cm="1">
        <f t="array" ref="F17">IFERROR((_xlfn.IFS(E17=$N$11,"3",E17=$N$12,"2",E17=$N$13,"1",E17=$N$14,"1"))*I17,"")</f>
        <v/>
      </c>
      <c r="G17" s="212"/>
      <c r="H17" s="1107" t="str">
        <f>IFERROR(VLOOKUP($B17,'Carbon factors'!$DV$7:$DW$23,2,0),"")</f>
        <v/>
      </c>
      <c r="I17" s="501" t="str">
        <f t="shared" si="1"/>
        <v/>
      </c>
      <c r="J17" s="181" t="s">
        <v>192</v>
      </c>
      <c r="L17" s="263" t="s">
        <v>1125</v>
      </c>
      <c r="M17" s="161"/>
      <c r="N17" s="158"/>
    </row>
    <row r="18" spans="1:14" x14ac:dyDescent="0.35">
      <c r="A18" s="898"/>
      <c r="B18" s="579"/>
      <c r="C18" s="179" t="str">
        <f t="shared" si="0"/>
        <v>Kilogrammes</v>
      </c>
      <c r="D18" s="579"/>
      <c r="E18" s="186"/>
      <c r="F18" s="501" t="str" cm="1">
        <f t="array" ref="F18">IFERROR((_xlfn.IFS(E18=$N$11,"3",E18=$N$12,"2",E18=$N$13,"1",E18=$N$14,"1"))*I18,"")</f>
        <v/>
      </c>
      <c r="G18" s="212"/>
      <c r="H18" s="1107" t="str">
        <f>IFERROR(VLOOKUP($B18,'Carbon factors'!$DV$7:$DW$23,2,0),"")</f>
        <v/>
      </c>
      <c r="I18" s="501" t="str">
        <f t="shared" si="1"/>
        <v/>
      </c>
      <c r="J18" s="181" t="s">
        <v>192</v>
      </c>
      <c r="L18" s="263" t="s">
        <v>1126</v>
      </c>
      <c r="M18" s="161"/>
      <c r="N18" s="158"/>
    </row>
    <row r="19" spans="1:14" x14ac:dyDescent="0.35">
      <c r="A19" s="898"/>
      <c r="B19" s="579"/>
      <c r="C19" s="179" t="str">
        <f t="shared" si="0"/>
        <v>Kilogrammes</v>
      </c>
      <c r="D19" s="579"/>
      <c r="E19" s="186"/>
      <c r="F19" s="501" t="str" cm="1">
        <f t="array" ref="F19">IFERROR((_xlfn.IFS(E19=$N$11,"3",E19=$N$12,"2",E19=$N$13,"1",E19=$N$14,"1"))*I19,"")</f>
        <v/>
      </c>
      <c r="G19" s="212"/>
      <c r="H19" s="1107" t="str">
        <f>IFERROR(VLOOKUP($B19,'Carbon factors'!$DV$7:$DW$23,2,0),"")</f>
        <v/>
      </c>
      <c r="I19" s="501" t="str">
        <f t="shared" si="1"/>
        <v/>
      </c>
      <c r="J19" s="181" t="s">
        <v>192</v>
      </c>
      <c r="L19" s="263" t="s">
        <v>1127</v>
      </c>
      <c r="M19" s="161"/>
      <c r="N19" s="158"/>
    </row>
    <row r="20" spans="1:14" x14ac:dyDescent="0.35">
      <c r="A20" s="898"/>
      <c r="B20" s="579"/>
      <c r="C20" s="179" t="str">
        <f t="shared" si="0"/>
        <v>Kilogrammes</v>
      </c>
      <c r="D20" s="579"/>
      <c r="E20" s="186"/>
      <c r="F20" s="501" t="str" cm="1">
        <f t="array" ref="F20">IFERROR((_xlfn.IFS(E20=$N$11,"3",E20=$N$12,"2",E20=$N$13,"1",E20=$N$14,"1"))*I20,"")</f>
        <v/>
      </c>
      <c r="G20" s="212"/>
      <c r="H20" s="1107" t="str">
        <f>IFERROR(VLOOKUP($B20,'Carbon factors'!$DV$7:$DW$23,2,0),"")</f>
        <v/>
      </c>
      <c r="I20" s="501" t="str">
        <f t="shared" si="1"/>
        <v/>
      </c>
      <c r="J20" s="181" t="s">
        <v>192</v>
      </c>
      <c r="L20" s="263" t="s">
        <v>1128</v>
      </c>
      <c r="M20" s="161"/>
      <c r="N20" s="158"/>
    </row>
    <row r="21" spans="1:14" x14ac:dyDescent="0.35">
      <c r="A21" s="898"/>
      <c r="B21" s="579"/>
      <c r="C21" s="179" t="str">
        <f t="shared" si="0"/>
        <v>Kilogrammes</v>
      </c>
      <c r="D21" s="579"/>
      <c r="E21" s="186"/>
      <c r="F21" s="501" t="str" cm="1">
        <f t="array" ref="F21">IFERROR((_xlfn.IFS(E21=$N$11,"3",E21=$N$12,"2",E21=$N$13,"1",E21=$N$14,"1"))*I21,"")</f>
        <v/>
      </c>
      <c r="G21" s="212"/>
      <c r="H21" s="1107" t="str">
        <f>IFERROR(VLOOKUP($B21,'Carbon factors'!$DV$7:$DW$23,2,0),"")</f>
        <v/>
      </c>
      <c r="I21" s="501" t="str">
        <f t="shared" si="1"/>
        <v/>
      </c>
      <c r="J21" s="181" t="s">
        <v>192</v>
      </c>
      <c r="L21" s="263" t="s">
        <v>1129</v>
      </c>
      <c r="M21" s="161"/>
      <c r="N21" s="158"/>
    </row>
    <row r="22" spans="1:14" x14ac:dyDescent="0.35">
      <c r="A22" s="898"/>
      <c r="B22" s="579"/>
      <c r="C22" s="179" t="str">
        <f t="shared" si="0"/>
        <v>Kilogrammes</v>
      </c>
      <c r="D22" s="579"/>
      <c r="E22" s="186"/>
      <c r="F22" s="501" t="str" cm="1">
        <f t="array" ref="F22">IFERROR((_xlfn.IFS(E22=$N$11,"3",E22=$N$12,"2",E22=$N$13,"1",E22=$N$14,"1"))*I22,"")</f>
        <v/>
      </c>
      <c r="G22" s="212"/>
      <c r="H22" s="1107" t="str">
        <f>IFERROR(VLOOKUP($B22,'Carbon factors'!$DV$7:$DW$23,2,0),"")</f>
        <v/>
      </c>
      <c r="I22" s="501" t="str">
        <f t="shared" si="1"/>
        <v/>
      </c>
      <c r="J22" s="181" t="s">
        <v>192</v>
      </c>
      <c r="L22" s="263" t="s">
        <v>1130</v>
      </c>
      <c r="M22" s="161"/>
      <c r="N22" s="158"/>
    </row>
    <row r="23" spans="1:14" x14ac:dyDescent="0.35">
      <c r="A23" s="898"/>
      <c r="B23" s="579"/>
      <c r="C23" s="179" t="str">
        <f t="shared" si="0"/>
        <v>Kilogrammes</v>
      </c>
      <c r="D23" s="579"/>
      <c r="E23" s="186"/>
      <c r="F23" s="501" t="str" cm="1">
        <f t="array" ref="F23">IFERROR((_xlfn.IFS(E23=$N$11,"3",E23=$N$12,"2",E23=$N$13,"1",E23=$N$14,"1"))*I23,"")</f>
        <v/>
      </c>
      <c r="G23" s="212"/>
      <c r="H23" s="1107" t="str">
        <f>IFERROR(VLOOKUP($B23,'Carbon factors'!$DV$7:$DW$23,2,0),"")</f>
        <v/>
      </c>
      <c r="I23" s="501" t="str">
        <f t="shared" si="1"/>
        <v/>
      </c>
      <c r="J23" s="181" t="s">
        <v>192</v>
      </c>
      <c r="L23" s="263" t="s">
        <v>1131</v>
      </c>
      <c r="M23" s="161"/>
      <c r="N23" s="158"/>
    </row>
    <row r="24" spans="1:14" x14ac:dyDescent="0.35">
      <c r="A24" s="898"/>
      <c r="B24" s="579"/>
      <c r="C24" s="179" t="str">
        <f t="shared" si="0"/>
        <v>Kilogrammes</v>
      </c>
      <c r="D24" s="579"/>
      <c r="E24" s="186"/>
      <c r="F24" s="501" t="str" cm="1">
        <f t="array" ref="F24">IFERROR((_xlfn.IFS(E24=$N$11,"3",E24=$N$12,"2",E24=$N$13,"1",E24=$N$14,"1"))*I24,"")</f>
        <v/>
      </c>
      <c r="G24" s="212"/>
      <c r="H24" s="1107" t="str">
        <f>IFERROR(VLOOKUP($B24,'Carbon factors'!$DV$7:$DW$23,2,0),"")</f>
        <v/>
      </c>
      <c r="I24" s="501" t="str">
        <f t="shared" si="1"/>
        <v/>
      </c>
      <c r="J24" s="181" t="s">
        <v>192</v>
      </c>
      <c r="L24" s="263" t="s">
        <v>715</v>
      </c>
      <c r="M24" s="161"/>
      <c r="N24" s="158"/>
    </row>
    <row r="25" spans="1:14" ht="15" thickBot="1" x14ac:dyDescent="0.4">
      <c r="A25" s="898"/>
      <c r="B25" s="579"/>
      <c r="C25" s="179" t="str">
        <f t="shared" si="0"/>
        <v>Kilogrammes</v>
      </c>
      <c r="D25" s="579"/>
      <c r="E25" s="186"/>
      <c r="F25" s="501" t="str" cm="1">
        <f t="array" ref="F25">IFERROR((_xlfn.IFS(E25=$N$11,"3",E25=$N$12,"2",E25=$N$13,"1",E25=$N$14,"1"))*I25,"")</f>
        <v/>
      </c>
      <c r="G25" s="212"/>
      <c r="H25" s="1107" t="str">
        <f>IFERROR(VLOOKUP($B25,'Carbon factors'!$DV$7:$DW$23,2,0),"")</f>
        <v/>
      </c>
      <c r="I25" s="501" t="str">
        <f t="shared" si="1"/>
        <v/>
      </c>
      <c r="J25" s="181" t="s">
        <v>192</v>
      </c>
      <c r="L25" s="265" t="s">
        <v>713</v>
      </c>
      <c r="M25" s="283"/>
      <c r="N25" s="250"/>
    </row>
    <row r="26" spans="1:14" x14ac:dyDescent="0.35">
      <c r="A26" s="898"/>
      <c r="B26" s="579"/>
      <c r="C26" s="179" t="str">
        <f t="shared" si="0"/>
        <v>Kilogrammes</v>
      </c>
      <c r="D26" s="579"/>
      <c r="E26" s="186"/>
      <c r="F26" s="501" t="str" cm="1">
        <f t="array" ref="F26">IFERROR((_xlfn.IFS(E26=$N$11,"3",E26=$N$12,"2",E26=$N$13,"1",E26=$N$14,"1"))*I26,"")</f>
        <v/>
      </c>
      <c r="G26" s="212"/>
      <c r="H26" s="1107" t="str">
        <f>IFERROR(VLOOKUP($B26,'Carbon factors'!$DV$7:$DW$23,2,0),"")</f>
        <v/>
      </c>
      <c r="I26" s="501" t="str">
        <f t="shared" si="1"/>
        <v/>
      </c>
      <c r="J26" s="181" t="s">
        <v>192</v>
      </c>
    </row>
    <row r="27" spans="1:14" x14ac:dyDescent="0.35">
      <c r="A27" s="898"/>
      <c r="B27" s="579"/>
      <c r="C27" s="179" t="str">
        <f t="shared" si="0"/>
        <v>Kilogrammes</v>
      </c>
      <c r="D27" s="579"/>
      <c r="E27" s="186"/>
      <c r="F27" s="501" t="str" cm="1">
        <f t="array" ref="F27">IFERROR((_xlfn.IFS(E27=$N$11,"3",E27=$N$12,"2",E27=$N$13,"1",E27=$N$14,"1"))*I27,"")</f>
        <v/>
      </c>
      <c r="G27" s="212"/>
      <c r="H27" s="1107" t="str">
        <f>IFERROR(VLOOKUP($B27,'Carbon factors'!$DV$7:$DW$23,2,0),"")</f>
        <v/>
      </c>
      <c r="I27" s="501" t="str">
        <f t="shared" si="1"/>
        <v/>
      </c>
      <c r="J27" s="181" t="s">
        <v>192</v>
      </c>
    </row>
    <row r="28" spans="1:14" x14ac:dyDescent="0.35">
      <c r="A28" s="898"/>
      <c r="B28" s="579"/>
      <c r="C28" s="179" t="str">
        <f t="shared" si="0"/>
        <v>Kilogrammes</v>
      </c>
      <c r="D28" s="579"/>
      <c r="E28" s="186"/>
      <c r="F28" s="501" t="str" cm="1">
        <f t="array" ref="F28">IFERROR((_xlfn.IFS(E28=$N$11,"3",E28=$N$12,"2",E28=$N$13,"1",E28=$N$14,"1"))*I28,"")</f>
        <v/>
      </c>
      <c r="G28" s="212"/>
      <c r="H28" s="1107" t="str">
        <f>IFERROR(VLOOKUP($B28,'Carbon factors'!$DV$7:$DW$23,2,0),"")</f>
        <v/>
      </c>
      <c r="I28" s="501" t="str">
        <f t="shared" si="1"/>
        <v/>
      </c>
      <c r="J28" s="181" t="s">
        <v>192</v>
      </c>
    </row>
    <row r="29" spans="1:14" x14ac:dyDescent="0.35">
      <c r="A29" s="898"/>
      <c r="B29" s="579"/>
      <c r="C29" s="179" t="str">
        <f t="shared" si="0"/>
        <v>Kilogrammes</v>
      </c>
      <c r="D29" s="579"/>
      <c r="E29" s="186"/>
      <c r="F29" s="501" t="str" cm="1">
        <f t="array" ref="F29">IFERROR((_xlfn.IFS(E29=$N$11,"3",E29=$N$12,"2",E29=$N$13,"1",E29=$N$14,"1"))*I29,"")</f>
        <v/>
      </c>
      <c r="G29" s="212"/>
      <c r="H29" s="1107" t="str">
        <f>IFERROR(VLOOKUP($B29,'Carbon factors'!$DV$7:$DW$23,2,0),"")</f>
        <v/>
      </c>
      <c r="I29" s="501" t="str">
        <f t="shared" si="1"/>
        <v/>
      </c>
      <c r="J29" s="181" t="s">
        <v>192</v>
      </c>
    </row>
    <row r="30" spans="1:14" x14ac:dyDescent="0.35">
      <c r="A30" s="898"/>
      <c r="B30" s="579"/>
      <c r="C30" s="179" t="str">
        <f t="shared" si="0"/>
        <v>Kilogrammes</v>
      </c>
      <c r="D30" s="579"/>
      <c r="E30" s="186"/>
      <c r="F30" s="501" t="str" cm="1">
        <f t="array" ref="F30">IFERROR((_xlfn.IFS(E30=$N$11,"3",E30=$N$12,"2",E30=$N$13,"1",E30=$N$14,"1"))*I30,"")</f>
        <v/>
      </c>
      <c r="G30" s="212"/>
      <c r="H30" s="1107" t="str">
        <f>IFERROR(VLOOKUP($B30,'Carbon factors'!$DV$7:$DW$23,2,0),"")</f>
        <v/>
      </c>
      <c r="I30" s="501" t="str">
        <f t="shared" si="1"/>
        <v/>
      </c>
      <c r="J30" s="181" t="s">
        <v>192</v>
      </c>
    </row>
    <row r="31" spans="1:14" x14ac:dyDescent="0.35">
      <c r="A31" s="898"/>
      <c r="B31" s="579"/>
      <c r="C31" s="179" t="str">
        <f t="shared" si="0"/>
        <v>Kilogrammes</v>
      </c>
      <c r="D31" s="579"/>
      <c r="E31" s="186"/>
      <c r="F31" s="501" t="str" cm="1">
        <f t="array" ref="F31">IFERROR((_xlfn.IFS(E31=$N$11,"3",E31=$N$12,"2",E31=$N$13,"1",E31=$N$14,"1"))*I31,"")</f>
        <v/>
      </c>
      <c r="G31" s="212"/>
      <c r="H31" s="1107" t="str">
        <f>IFERROR(VLOOKUP($B31,'Carbon factors'!$DV$7:$DW$23,2,0),"")</f>
        <v/>
      </c>
      <c r="I31" s="501" t="str">
        <f t="shared" si="1"/>
        <v/>
      </c>
      <c r="J31" s="181" t="s">
        <v>192</v>
      </c>
    </row>
    <row r="32" spans="1:14" x14ac:dyDescent="0.35">
      <c r="A32" s="898"/>
      <c r="B32" s="579"/>
      <c r="C32" s="179" t="str">
        <f t="shared" si="0"/>
        <v>Kilogrammes</v>
      </c>
      <c r="D32" s="579"/>
      <c r="E32" s="186"/>
      <c r="F32" s="501" t="str" cm="1">
        <f t="array" ref="F32">IFERROR((_xlfn.IFS(E32=$N$11,"3",E32=$N$12,"2",E32=$N$13,"1",E32=$N$14,"1"))*I32,"")</f>
        <v/>
      </c>
      <c r="G32" s="212"/>
      <c r="H32" s="1107" t="str">
        <f>IFERROR(VLOOKUP($B32,'Carbon factors'!$DV$7:$DW$23,2,0),"")</f>
        <v/>
      </c>
      <c r="I32" s="501" t="str">
        <f t="shared" si="1"/>
        <v/>
      </c>
      <c r="J32" s="181" t="s">
        <v>192</v>
      </c>
    </row>
    <row r="33" spans="1:10" x14ac:dyDescent="0.35">
      <c r="A33" s="898"/>
      <c r="B33" s="579"/>
      <c r="C33" s="179" t="str">
        <f t="shared" si="0"/>
        <v>Kilogrammes</v>
      </c>
      <c r="D33" s="579"/>
      <c r="E33" s="186"/>
      <c r="F33" s="501" t="str" cm="1">
        <f t="array" ref="F33">IFERROR((_xlfn.IFS(E33=$N$11,"3",E33=$N$12,"2",E33=$N$13,"1",E33=$N$14,"1"))*I33,"")</f>
        <v/>
      </c>
      <c r="G33" s="212"/>
      <c r="H33" s="1107" t="str">
        <f>IFERROR(VLOOKUP($B33,'Carbon factors'!$DV$7:$DW$23,2,0),"")</f>
        <v/>
      </c>
      <c r="I33" s="501" t="str">
        <f t="shared" si="1"/>
        <v/>
      </c>
      <c r="J33" s="181" t="s">
        <v>192</v>
      </c>
    </row>
    <row r="34" spans="1:10" x14ac:dyDescent="0.35">
      <c r="A34" s="898"/>
      <c r="B34" s="579"/>
      <c r="C34" s="179" t="str">
        <f t="shared" si="0"/>
        <v>Kilogrammes</v>
      </c>
      <c r="D34" s="579"/>
      <c r="E34" s="186"/>
      <c r="F34" s="501" t="str" cm="1">
        <f t="array" ref="F34">IFERROR((_xlfn.IFS(E34=$N$11,"3",E34=$N$12,"2",E34=$N$13,"1",E34=$N$14,"1"))*I34,"")</f>
        <v/>
      </c>
      <c r="G34" s="212"/>
      <c r="H34" s="1107" t="str">
        <f>IFERROR(VLOOKUP($B34,'Carbon factors'!$DV$7:$DW$23,2,0),"")</f>
        <v/>
      </c>
      <c r="I34" s="501" t="str">
        <f t="shared" si="1"/>
        <v/>
      </c>
      <c r="J34" s="181" t="s">
        <v>192</v>
      </c>
    </row>
    <row r="35" spans="1:10" x14ac:dyDescent="0.35">
      <c r="A35" s="898"/>
      <c r="B35" s="579"/>
      <c r="C35" s="179" t="str">
        <f t="shared" si="0"/>
        <v>Kilogrammes</v>
      </c>
      <c r="D35" s="579"/>
      <c r="E35" s="186"/>
      <c r="F35" s="501" t="str" cm="1">
        <f t="array" ref="F35">IFERROR((_xlfn.IFS(E35=$N$11,"3",E35=$N$12,"2",E35=$N$13,"1",E35=$N$14,"1"))*I35,"")</f>
        <v/>
      </c>
      <c r="G35" s="212"/>
      <c r="H35" s="1107" t="str">
        <f>IFERROR(VLOOKUP($B35,'Carbon factors'!$DV$7:$DW$23,2,0),"")</f>
        <v/>
      </c>
      <c r="I35" s="501" t="str">
        <f t="shared" si="1"/>
        <v/>
      </c>
      <c r="J35" s="181" t="s">
        <v>192</v>
      </c>
    </row>
    <row r="36" spans="1:10" x14ac:dyDescent="0.35">
      <c r="A36" s="898"/>
      <c r="B36" s="579"/>
      <c r="C36" s="179" t="str">
        <f t="shared" si="0"/>
        <v>Kilogrammes</v>
      </c>
      <c r="D36" s="579"/>
      <c r="E36" s="186"/>
      <c r="F36" s="501" t="str" cm="1">
        <f t="array" ref="F36">IFERROR((_xlfn.IFS(E36=$N$11,"3",E36=$N$12,"2",E36=$N$13,"1",E36=$N$14,"1"))*I36,"")</f>
        <v/>
      </c>
      <c r="G36" s="212"/>
      <c r="H36" s="1107" t="str">
        <f>IFERROR(VLOOKUP($B36,'Carbon factors'!$DV$7:$DW$23,2,0),"")</f>
        <v/>
      </c>
      <c r="I36" s="501" t="str">
        <f t="shared" si="1"/>
        <v/>
      </c>
      <c r="J36" s="181" t="s">
        <v>192</v>
      </c>
    </row>
    <row r="37" spans="1:10" x14ac:dyDescent="0.35">
      <c r="A37" s="898"/>
      <c r="B37" s="579"/>
      <c r="C37" s="179" t="str">
        <f t="shared" si="0"/>
        <v>Kilogrammes</v>
      </c>
      <c r="D37" s="579"/>
      <c r="E37" s="186"/>
      <c r="F37" s="501" t="str" cm="1">
        <f t="array" ref="F37">IFERROR((_xlfn.IFS(E37=$N$11,"3",E37=$N$12,"2",E37=$N$13,"1",E37=$N$14,"1"))*I37,"")</f>
        <v/>
      </c>
      <c r="G37" s="212"/>
      <c r="H37" s="1107" t="str">
        <f>IFERROR(VLOOKUP($B37,'Carbon factors'!$DV$7:$DW$23,2,0),"")</f>
        <v/>
      </c>
      <c r="I37" s="501" t="str">
        <f t="shared" si="1"/>
        <v/>
      </c>
      <c r="J37" s="181" t="s">
        <v>192</v>
      </c>
    </row>
    <row r="38" spans="1:10" x14ac:dyDescent="0.35">
      <c r="A38" s="898"/>
      <c r="B38" s="579"/>
      <c r="C38" s="179" t="str">
        <f t="shared" si="0"/>
        <v>Kilogrammes</v>
      </c>
      <c r="D38" s="579"/>
      <c r="E38" s="186"/>
      <c r="F38" s="501" t="str" cm="1">
        <f t="array" ref="F38">IFERROR((_xlfn.IFS(E38=$N$11,"3",E38=$N$12,"2",E38=$N$13,"1",E38=$N$14,"1"))*I38,"")</f>
        <v/>
      </c>
      <c r="G38" s="212"/>
      <c r="H38" s="1107" t="str">
        <f>IFERROR(VLOOKUP($B38,'Carbon factors'!$DV$7:$DW$23,2,0),"")</f>
        <v/>
      </c>
      <c r="I38" s="501" t="str">
        <f t="shared" si="1"/>
        <v/>
      </c>
      <c r="J38" s="181" t="s">
        <v>192</v>
      </c>
    </row>
    <row r="39" spans="1:10" x14ac:dyDescent="0.35">
      <c r="A39" s="898"/>
      <c r="B39" s="579"/>
      <c r="C39" s="179" t="str">
        <f t="shared" si="0"/>
        <v>Kilogrammes</v>
      </c>
      <c r="D39" s="579"/>
      <c r="E39" s="186"/>
      <c r="F39" s="501" t="str" cm="1">
        <f t="array" ref="F39">IFERROR((_xlfn.IFS(E39=$N$11,"3",E39=$N$12,"2",E39=$N$13,"1",E39=$N$14,"1"))*I39,"")</f>
        <v/>
      </c>
      <c r="G39" s="212"/>
      <c r="H39" s="1107" t="str">
        <f>IFERROR(VLOOKUP($B39,'Carbon factors'!$DV$7:$DW$23,2,0),"")</f>
        <v/>
      </c>
      <c r="I39" s="501" t="str">
        <f t="shared" si="1"/>
        <v/>
      </c>
      <c r="J39" s="181" t="s">
        <v>192</v>
      </c>
    </row>
    <row r="40" spans="1:10" x14ac:dyDescent="0.35">
      <c r="A40" s="898"/>
      <c r="B40" s="579"/>
      <c r="C40" s="179" t="str">
        <f t="shared" si="0"/>
        <v>Kilogrammes</v>
      </c>
      <c r="D40" s="579"/>
      <c r="E40" s="186"/>
      <c r="F40" s="501" t="str" cm="1">
        <f t="array" ref="F40">IFERROR((_xlfn.IFS(E40=$N$11,"3",E40=$N$12,"2",E40=$N$13,"1",E40=$N$14,"1"))*I40,"")</f>
        <v/>
      </c>
      <c r="G40" s="212"/>
      <c r="H40" s="1107" t="str">
        <f>IFERROR(VLOOKUP($B40,'Carbon factors'!$DV$7:$DW$23,2,0),"")</f>
        <v/>
      </c>
      <c r="I40" s="501" t="str">
        <f t="shared" si="1"/>
        <v/>
      </c>
      <c r="J40" s="181" t="s">
        <v>192</v>
      </c>
    </row>
    <row r="41" spans="1:10" x14ac:dyDescent="0.35">
      <c r="A41" s="898"/>
      <c r="B41" s="579"/>
      <c r="C41" s="179" t="str">
        <f t="shared" si="0"/>
        <v>Kilogrammes</v>
      </c>
      <c r="D41" s="579"/>
      <c r="E41" s="186"/>
      <c r="F41" s="501" t="str" cm="1">
        <f t="array" ref="F41">IFERROR((_xlfn.IFS(E41=$N$11,"3",E41=$N$12,"2",E41=$N$13,"1",E41=$N$14,"1"))*I41,"")</f>
        <v/>
      </c>
      <c r="G41" s="212"/>
      <c r="H41" s="1107" t="str">
        <f>IFERROR(VLOOKUP($B41,'Carbon factors'!$DV$7:$DW$23,2,0),"")</f>
        <v/>
      </c>
      <c r="I41" s="501" t="str">
        <f t="shared" si="1"/>
        <v/>
      </c>
      <c r="J41" s="181" t="s">
        <v>192</v>
      </c>
    </row>
    <row r="42" spans="1:10" x14ac:dyDescent="0.35">
      <c r="A42" s="898"/>
      <c r="B42" s="579"/>
      <c r="C42" s="179" t="str">
        <f t="shared" si="0"/>
        <v>Kilogrammes</v>
      </c>
      <c r="D42" s="579"/>
      <c r="E42" s="186"/>
      <c r="F42" s="501" t="str" cm="1">
        <f t="array" ref="F42">IFERROR((_xlfn.IFS(E42=$N$11,"3",E42=$N$12,"2",E42=$N$13,"1",E42=$N$14,"1"))*I42,"")</f>
        <v/>
      </c>
      <c r="G42" s="212"/>
      <c r="H42" s="1107" t="str">
        <f>IFERROR(VLOOKUP($B42,'Carbon factors'!$DV$7:$DW$23,2,0),"")</f>
        <v/>
      </c>
      <c r="I42" s="501" t="str">
        <f t="shared" si="1"/>
        <v/>
      </c>
      <c r="J42" s="181" t="s">
        <v>192</v>
      </c>
    </row>
    <row r="43" spans="1:10" x14ac:dyDescent="0.35">
      <c r="A43" s="898"/>
      <c r="B43" s="579"/>
      <c r="C43" s="179" t="str">
        <f t="shared" si="0"/>
        <v>Kilogrammes</v>
      </c>
      <c r="D43" s="579"/>
      <c r="E43" s="186"/>
      <c r="F43" s="501" t="str" cm="1">
        <f t="array" ref="F43">IFERROR((_xlfn.IFS(E43=$N$11,"3",E43=$N$12,"2",E43=$N$13,"1",E43=$N$14,"1"))*I43,"")</f>
        <v/>
      </c>
      <c r="G43" s="212"/>
      <c r="H43" s="1107" t="str">
        <f>IFERROR(VLOOKUP($B43,'Carbon factors'!$DV$7:$DW$23,2,0),"")</f>
        <v/>
      </c>
      <c r="I43" s="501" t="str">
        <f t="shared" si="1"/>
        <v/>
      </c>
      <c r="J43" s="181" t="s">
        <v>192</v>
      </c>
    </row>
    <row r="44" spans="1:10" x14ac:dyDescent="0.35">
      <c r="A44" s="898"/>
      <c r="B44" s="579"/>
      <c r="C44" s="179" t="str">
        <f t="shared" si="0"/>
        <v>Kilogrammes</v>
      </c>
      <c r="D44" s="579"/>
      <c r="E44" s="186"/>
      <c r="F44" s="501" t="str" cm="1">
        <f t="array" ref="F44">IFERROR((_xlfn.IFS(E44=$N$11,"3",E44=$N$12,"2",E44=$N$13,"1",E44=$N$14,"1"))*I44,"")</f>
        <v/>
      </c>
      <c r="G44" s="212"/>
      <c r="H44" s="1107" t="str">
        <f>IFERROR(VLOOKUP($B44,'Carbon factors'!$DV$7:$DW$23,2,0),"")</f>
        <v/>
      </c>
      <c r="I44" s="501" t="str">
        <f t="shared" si="1"/>
        <v/>
      </c>
      <c r="J44" s="181" t="s">
        <v>192</v>
      </c>
    </row>
    <row r="45" spans="1:10" x14ac:dyDescent="0.35">
      <c r="A45" s="898"/>
      <c r="B45" s="579"/>
      <c r="C45" s="179" t="str">
        <f t="shared" si="0"/>
        <v>Kilogrammes</v>
      </c>
      <c r="D45" s="579"/>
      <c r="E45" s="186"/>
      <c r="F45" s="501" t="str" cm="1">
        <f t="array" ref="F45">IFERROR((_xlfn.IFS(E45=$N$11,"3",E45=$N$12,"2",E45=$N$13,"1",E45=$N$14,"1"))*I45,"")</f>
        <v/>
      </c>
      <c r="G45" s="212"/>
      <c r="H45" s="1107" t="str">
        <f>IFERROR(VLOOKUP($B45,'Carbon factors'!$DV$7:$DW$23,2,0),"")</f>
        <v/>
      </c>
      <c r="I45" s="501" t="str">
        <f t="shared" si="1"/>
        <v/>
      </c>
      <c r="J45" s="181" t="s">
        <v>192</v>
      </c>
    </row>
    <row r="46" spans="1:10" x14ac:dyDescent="0.35">
      <c r="A46" s="898"/>
      <c r="B46" s="579"/>
      <c r="C46" s="179" t="str">
        <f t="shared" si="0"/>
        <v>Kilogrammes</v>
      </c>
      <c r="D46" s="579"/>
      <c r="E46" s="186"/>
      <c r="F46" s="501" t="str" cm="1">
        <f t="array" ref="F46">IFERROR((_xlfn.IFS(E46=$N$11,"3",E46=$N$12,"2",E46=$N$13,"1",E46=$N$14,"1"))*I46,"")</f>
        <v/>
      </c>
      <c r="G46" s="212"/>
      <c r="H46" s="1107" t="str">
        <f>IFERROR(VLOOKUP($B46,'Carbon factors'!$DV$7:$DW$23,2,0),"")</f>
        <v/>
      </c>
      <c r="I46" s="501" t="str">
        <f t="shared" si="1"/>
        <v/>
      </c>
      <c r="J46" s="181" t="s">
        <v>192</v>
      </c>
    </row>
    <row r="47" spans="1:10" x14ac:dyDescent="0.35">
      <c r="A47" s="898"/>
      <c r="B47" s="579"/>
      <c r="C47" s="179" t="str">
        <f t="shared" si="0"/>
        <v>Kilogrammes</v>
      </c>
      <c r="D47" s="579"/>
      <c r="E47" s="186"/>
      <c r="F47" s="501" t="str" cm="1">
        <f t="array" ref="F47">IFERROR((_xlfn.IFS(E47=$N$11,"3",E47=$N$12,"2",E47=$N$13,"1",E47=$N$14,"1"))*I47,"")</f>
        <v/>
      </c>
      <c r="G47" s="212"/>
      <c r="H47" s="1107" t="str">
        <f>IFERROR(VLOOKUP($B47,'Carbon factors'!$DV$7:$DW$23,2,0),"")</f>
        <v/>
      </c>
      <c r="I47" s="501" t="str">
        <f t="shared" si="1"/>
        <v/>
      </c>
      <c r="J47" s="181" t="s">
        <v>192</v>
      </c>
    </row>
    <row r="48" spans="1:10" x14ac:dyDescent="0.35">
      <c r="A48" s="898"/>
      <c r="B48" s="579"/>
      <c r="C48" s="179" t="str">
        <f t="shared" si="0"/>
        <v>Kilogrammes</v>
      </c>
      <c r="D48" s="579"/>
      <c r="E48" s="186"/>
      <c r="F48" s="501" t="str" cm="1">
        <f t="array" ref="F48">IFERROR((_xlfn.IFS(E48=$N$11,"3",E48=$N$12,"2",E48=$N$13,"1",E48=$N$14,"1"))*I48,"")</f>
        <v/>
      </c>
      <c r="G48" s="212"/>
      <c r="H48" s="1107" t="str">
        <f>IFERROR(VLOOKUP($B48,'Carbon factors'!$DV$7:$DW$23,2,0),"")</f>
        <v/>
      </c>
      <c r="I48" s="501" t="str">
        <f t="shared" si="1"/>
        <v/>
      </c>
      <c r="J48" s="181" t="s">
        <v>192</v>
      </c>
    </row>
    <row r="49" spans="1:10" x14ac:dyDescent="0.35">
      <c r="A49" s="898"/>
      <c r="B49" s="579"/>
      <c r="C49" s="179" t="str">
        <f t="shared" si="0"/>
        <v>Kilogrammes</v>
      </c>
      <c r="D49" s="579"/>
      <c r="E49" s="186"/>
      <c r="F49" s="501" t="str" cm="1">
        <f t="array" ref="F49">IFERROR((_xlfn.IFS(E49=$N$11,"3",E49=$N$12,"2",E49=$N$13,"1",E49=$N$14,"1"))*I49,"")</f>
        <v/>
      </c>
      <c r="G49" s="212"/>
      <c r="H49" s="1107" t="str">
        <f>IFERROR(VLOOKUP($B49,'Carbon factors'!$DV$7:$DW$23,2,0),"")</f>
        <v/>
      </c>
      <c r="I49" s="501" t="str">
        <f t="shared" si="1"/>
        <v/>
      </c>
      <c r="J49" s="181" t="s">
        <v>192</v>
      </c>
    </row>
    <row r="50" spans="1:10" x14ac:dyDescent="0.35">
      <c r="A50" s="898"/>
      <c r="B50" s="579"/>
      <c r="C50" s="179" t="str">
        <f t="shared" si="0"/>
        <v>Kilogrammes</v>
      </c>
      <c r="D50" s="579"/>
      <c r="E50" s="186"/>
      <c r="F50" s="501" t="str" cm="1">
        <f t="array" ref="F50">IFERROR((_xlfn.IFS(E50=$N$11,"3",E50=$N$12,"2",E50=$N$13,"1",E50=$N$14,"1"))*I50,"")</f>
        <v/>
      </c>
      <c r="G50" s="212"/>
      <c r="H50" s="1107" t="str">
        <f>IFERROR(VLOOKUP($B50,'Carbon factors'!$DV$7:$DW$23,2,0),"")</f>
        <v/>
      </c>
      <c r="I50" s="501" t="str">
        <f t="shared" si="1"/>
        <v/>
      </c>
      <c r="J50" s="181" t="s">
        <v>192</v>
      </c>
    </row>
    <row r="51" spans="1:10" x14ac:dyDescent="0.35">
      <c r="A51" s="898"/>
      <c r="B51" s="579"/>
      <c r="C51" s="179" t="str">
        <f t="shared" si="0"/>
        <v>Kilogrammes</v>
      </c>
      <c r="D51" s="579"/>
      <c r="E51" s="186"/>
      <c r="F51" s="501" t="str" cm="1">
        <f t="array" ref="F51">IFERROR((_xlfn.IFS(E51=$N$11,"3",E51=$N$12,"2",E51=$N$13,"1",E51=$N$14,"1"))*I51,"")</f>
        <v/>
      </c>
      <c r="G51" s="212"/>
      <c r="H51" s="1107" t="str">
        <f>IFERROR(VLOOKUP($B51,'Carbon factors'!$DV$7:$DW$23,2,0),"")</f>
        <v/>
      </c>
      <c r="I51" s="501" t="str">
        <f t="shared" si="1"/>
        <v/>
      </c>
      <c r="J51" s="181" t="s">
        <v>192</v>
      </c>
    </row>
    <row r="52" spans="1:10" x14ac:dyDescent="0.35">
      <c r="A52" s="898"/>
      <c r="B52" s="579"/>
      <c r="C52" s="179" t="str">
        <f t="shared" si="0"/>
        <v>Kilogrammes</v>
      </c>
      <c r="D52" s="579"/>
      <c r="E52" s="186"/>
      <c r="F52" s="501" t="str" cm="1">
        <f t="array" ref="F52">IFERROR((_xlfn.IFS(E52=$N$11,"3",E52=$N$12,"2",E52=$N$13,"1",E52=$N$14,"1"))*I52,"")</f>
        <v/>
      </c>
      <c r="G52" s="212"/>
      <c r="H52" s="1107" t="str">
        <f>IFERROR(VLOOKUP($B52,'Carbon factors'!$DV$7:$DW$23,2,0),"")</f>
        <v/>
      </c>
      <c r="I52" s="501" t="str">
        <f t="shared" si="1"/>
        <v/>
      </c>
      <c r="J52" s="181" t="s">
        <v>192</v>
      </c>
    </row>
    <row r="53" spans="1:10" x14ac:dyDescent="0.35">
      <c r="A53" s="898"/>
      <c r="B53" s="579"/>
      <c r="C53" s="179" t="str">
        <f t="shared" si="0"/>
        <v>Kilogrammes</v>
      </c>
      <c r="D53" s="579"/>
      <c r="E53" s="186"/>
      <c r="F53" s="501" t="str" cm="1">
        <f t="array" ref="F53">IFERROR((_xlfn.IFS(E53=$N$11,"3",E53=$N$12,"2",E53=$N$13,"1",E53=$N$14,"1"))*I53,"")</f>
        <v/>
      </c>
      <c r="G53" s="212"/>
      <c r="H53" s="1107" t="str">
        <f>IFERROR(VLOOKUP($B53,'Carbon factors'!$DV$7:$DW$23,2,0),"")</f>
        <v/>
      </c>
      <c r="I53" s="501" t="str">
        <f t="shared" si="1"/>
        <v/>
      </c>
      <c r="J53" s="181" t="s">
        <v>192</v>
      </c>
    </row>
    <row r="54" spans="1:10" x14ac:dyDescent="0.35">
      <c r="A54" s="898"/>
      <c r="B54" s="579"/>
      <c r="C54" s="179" t="str">
        <f t="shared" si="0"/>
        <v>Kilogrammes</v>
      </c>
      <c r="D54" s="579"/>
      <c r="E54" s="186"/>
      <c r="F54" s="501" t="str" cm="1">
        <f t="array" ref="F54">IFERROR((_xlfn.IFS(E54=$N$11,"3",E54=$N$12,"2",E54=$N$13,"1",E54=$N$14,"1"))*I54,"")</f>
        <v/>
      </c>
      <c r="G54" s="212"/>
      <c r="H54" s="1107" t="str">
        <f>IFERROR(VLOOKUP($B54,'Carbon factors'!$DV$7:$DW$23,2,0),"")</f>
        <v/>
      </c>
      <c r="I54" s="501" t="str">
        <f t="shared" si="1"/>
        <v/>
      </c>
      <c r="J54" s="181" t="s">
        <v>192</v>
      </c>
    </row>
    <row r="55" spans="1:10" x14ac:dyDescent="0.35">
      <c r="A55" s="898"/>
      <c r="B55" s="579"/>
      <c r="C55" s="179" t="str">
        <f t="shared" si="0"/>
        <v>Kilogrammes</v>
      </c>
      <c r="D55" s="579"/>
      <c r="E55" s="186"/>
      <c r="F55" s="501" t="str" cm="1">
        <f t="array" ref="F55">IFERROR((_xlfn.IFS(E55=$N$11,"3",E55=$N$12,"2",E55=$N$13,"1",E55=$N$14,"1"))*I55,"")</f>
        <v/>
      </c>
      <c r="G55" s="212"/>
      <c r="H55" s="1107" t="str">
        <f>IFERROR(VLOOKUP($B55,'Carbon factors'!$DV$7:$DW$23,2,0),"")</f>
        <v/>
      </c>
      <c r="I55" s="501" t="str">
        <f t="shared" si="1"/>
        <v/>
      </c>
      <c r="J55" s="181" t="s">
        <v>192</v>
      </c>
    </row>
    <row r="56" spans="1:10" x14ac:dyDescent="0.35">
      <c r="A56" s="898"/>
      <c r="B56" s="579"/>
      <c r="C56" s="179" t="str">
        <f t="shared" si="0"/>
        <v>Kilogrammes</v>
      </c>
      <c r="D56" s="579"/>
      <c r="E56" s="186"/>
      <c r="F56" s="501" t="str" cm="1">
        <f t="array" ref="F56">IFERROR((_xlfn.IFS(E56=$N$11,"3",E56=$N$12,"2",E56=$N$13,"1",E56=$N$14,"1"))*I56,"")</f>
        <v/>
      </c>
      <c r="G56" s="212"/>
      <c r="H56" s="1107" t="str">
        <f>IFERROR(VLOOKUP($B56,'Carbon factors'!$DV$7:$DW$23,2,0),"")</f>
        <v/>
      </c>
      <c r="I56" s="501" t="str">
        <f t="shared" si="1"/>
        <v/>
      </c>
      <c r="J56" s="181" t="s">
        <v>192</v>
      </c>
    </row>
    <row r="57" spans="1:10" x14ac:dyDescent="0.35">
      <c r="A57" s="898"/>
      <c r="B57" s="579"/>
      <c r="C57" s="179" t="str">
        <f t="shared" si="0"/>
        <v>Kilogrammes</v>
      </c>
      <c r="D57" s="579"/>
      <c r="E57" s="186"/>
      <c r="F57" s="501" t="str" cm="1">
        <f t="array" ref="F57">IFERROR((_xlfn.IFS(E57=$N$11,"3",E57=$N$12,"2",E57=$N$13,"1",E57=$N$14,"1"))*I57,"")</f>
        <v/>
      </c>
      <c r="G57" s="212"/>
      <c r="H57" s="1107" t="str">
        <f>IFERROR(VLOOKUP($B57,'Carbon factors'!$DV$7:$DW$23,2,0),"")</f>
        <v/>
      </c>
      <c r="I57" s="501" t="str">
        <f t="shared" si="1"/>
        <v/>
      </c>
      <c r="J57" s="181" t="s">
        <v>192</v>
      </c>
    </row>
    <row r="58" spans="1:10" x14ac:dyDescent="0.35">
      <c r="A58" s="898"/>
      <c r="B58" s="579"/>
      <c r="C58" s="179" t="str">
        <f t="shared" si="0"/>
        <v>Kilogrammes</v>
      </c>
      <c r="D58" s="579"/>
      <c r="E58" s="186"/>
      <c r="F58" s="501" t="str" cm="1">
        <f t="array" ref="F58">IFERROR((_xlfn.IFS(E58=$N$11,"3",E58=$N$12,"2",E58=$N$13,"1",E58=$N$14,"1"))*I58,"")</f>
        <v/>
      </c>
      <c r="G58" s="212"/>
      <c r="H58" s="1107" t="str">
        <f>IFERROR(VLOOKUP($B58,'Carbon factors'!$DV$7:$DW$23,2,0),"")</f>
        <v/>
      </c>
      <c r="I58" s="501" t="str">
        <f t="shared" si="1"/>
        <v/>
      </c>
      <c r="J58" s="181" t="s">
        <v>192</v>
      </c>
    </row>
    <row r="59" spans="1:10" x14ac:dyDescent="0.35">
      <c r="A59" s="898"/>
      <c r="B59" s="579"/>
      <c r="C59" s="179" t="str">
        <f t="shared" si="0"/>
        <v>Kilogrammes</v>
      </c>
      <c r="D59" s="579"/>
      <c r="E59" s="186"/>
      <c r="F59" s="501" t="str" cm="1">
        <f t="array" ref="F59">IFERROR((_xlfn.IFS(E59=$N$11,"3",E59=$N$12,"2",E59=$N$13,"1",E59=$N$14,"1"))*I59,"")</f>
        <v/>
      </c>
      <c r="G59" s="212"/>
      <c r="H59" s="1107" t="str">
        <f>IFERROR(VLOOKUP($B59,'Carbon factors'!$DV$7:$DW$23,2,0),"")</f>
        <v/>
      </c>
      <c r="I59" s="501" t="str">
        <f t="shared" si="1"/>
        <v/>
      </c>
      <c r="J59" s="181" t="s">
        <v>192</v>
      </c>
    </row>
    <row r="60" spans="1:10" ht="15" thickBot="1" x14ac:dyDescent="0.4">
      <c r="A60" s="899"/>
      <c r="B60" s="580"/>
      <c r="C60" s="180" t="str">
        <f t="shared" si="0"/>
        <v>Kilogrammes</v>
      </c>
      <c r="D60" s="580"/>
      <c r="E60" s="188"/>
      <c r="F60" s="502" t="str" cm="1">
        <f t="array" ref="F60">IFERROR((_xlfn.IFS(E60=$N$11,"3",E60=$N$12,"2",E60=$N$13,"1",E60=$N$14,"1"))*I60,"")</f>
        <v/>
      </c>
      <c r="G60" s="213"/>
      <c r="H60" s="1108" t="str">
        <f>IFERROR(VLOOKUP($B60,'Carbon factors'!$DV$7:$DW$23,2,0),"")</f>
        <v/>
      </c>
      <c r="I60" s="502" t="str">
        <f t="shared" si="1"/>
        <v/>
      </c>
      <c r="J60" s="185" t="s">
        <v>192</v>
      </c>
    </row>
  </sheetData>
  <sheetProtection algorithmName="SHA-512" hashValue="Ix57D1/1Q3/XBmXKxvZfid/rJgFd49ATiI0Eo/K9FlJZYLbuEEAHRUYjmlHZwABHMyy5cLuad7+MpjdFtVuToA==" saltValue="tucuR6NnjN2ilFnnkpetNg==" spinCount="100000" sheet="1" objects="1" scenarios="1"/>
  <protectedRanges>
    <protectedRange sqref="G2 G11:G60 B11:B60 D11:E60" name="Range1"/>
    <protectedRange sqref="A11:A60" name="Range2_2_1_1_1"/>
  </protectedRanges>
  <mergeCells count="7">
    <mergeCell ref="L9:N9"/>
    <mergeCell ref="G2:J7"/>
    <mergeCell ref="A1:B1"/>
    <mergeCell ref="F2:F7"/>
    <mergeCell ref="A2:D2"/>
    <mergeCell ref="A3:D3"/>
    <mergeCell ref="A4:D4"/>
  </mergeCells>
  <phoneticPr fontId="10" type="noConversion"/>
  <conditionalFormatting sqref="I11:I60">
    <cfRule type="cellIs" dxfId="30" priority="1" operator="lessThan">
      <formula>0.000000001</formula>
    </cfRule>
    <cfRule type="colorScale" priority="2">
      <colorScale>
        <cfvo type="min"/>
        <cfvo type="percentile" val="50"/>
        <cfvo type="max"/>
        <color rgb="FF00B050"/>
        <color rgb="FFFFEB84"/>
        <color rgb="FFFF0000"/>
      </colorScale>
    </cfRule>
  </conditionalFormatting>
  <dataValidations count="2">
    <dataValidation type="list" allowBlank="1" showInputMessage="1" showErrorMessage="1" sqref="E11:E60" xr:uid="{1788CA2D-3EEA-48AA-BEA9-554B6005EF3B}">
      <formula1>$N$11:$N$14</formula1>
    </dataValidation>
    <dataValidation type="decimal" allowBlank="1" showInputMessage="1" showErrorMessage="1" errorTitle="Number only" error="Enter a number only" sqref="D11:D60" xr:uid="{76821F55-A69B-41E7-9982-0D507D2F61F5}">
      <formula1>0</formula1>
      <formula2>100000000</formula2>
    </dataValidation>
  </dataValidations>
  <pageMargins left="0.7" right="0.7" top="0.75" bottom="0.75" header="0.3" footer="0.3"/>
  <pageSetup paperSize="9" orientation="portrait" horizontalDpi="360" verticalDpi="360" r:id="rId1"/>
  <extLst>
    <ext xmlns:x14="http://schemas.microsoft.com/office/spreadsheetml/2009/9/main" uri="{CCE6A557-97BC-4b89-ADB6-D9C93CAAB3DF}">
      <x14:dataValidations xmlns:xm="http://schemas.microsoft.com/office/excel/2006/main" count="2">
        <x14:dataValidation type="list" allowBlank="1" showInputMessage="1" showErrorMessage="1" xr:uid="{0A074A6D-B09E-40D2-A86E-681868E834CA}">
          <x14:formula1>
            <xm:f>'Carbon factors'!$DV$7:$DV$23</xm:f>
          </x14:formula1>
          <xm:sqref>B11:B60</xm:sqref>
        </x14:dataValidation>
        <x14:dataValidation type="list" allowBlank="1" showInputMessage="1" showErrorMessage="1" xr:uid="{0E9D3BA4-71B8-4215-890A-F4697F04C86E}">
          <x14:formula1>
            <xm:f>Buildings!$B$9:$B$41</xm:f>
          </x14:formula1>
          <xm:sqref>A11:A60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72E6B-58F4-4AF9-A130-52FA953E8410}">
  <sheetPr>
    <tabColor rgb="FF00B050"/>
  </sheetPr>
  <dimension ref="A1:P113"/>
  <sheetViews>
    <sheetView topLeftCell="A11" zoomScaleNormal="100" workbookViewId="0">
      <selection activeCell="A27" sqref="A27"/>
    </sheetView>
  </sheetViews>
  <sheetFormatPr defaultColWidth="8.81640625" defaultRowHeight="14.5" x14ac:dyDescent="0.35"/>
  <cols>
    <col min="1" max="1" width="66.26953125" bestFit="1" customWidth="1"/>
    <col min="2" max="2" width="31.7265625" customWidth="1"/>
    <col min="3" max="3" width="23.26953125" customWidth="1"/>
    <col min="4" max="4" width="31.453125" style="4" bestFit="1" customWidth="1"/>
    <col min="5" max="5" width="23.1796875" customWidth="1"/>
    <col min="6" max="6" width="16.453125" customWidth="1"/>
    <col min="7" max="7" width="22" customWidth="1"/>
    <col min="8" max="8" width="45.26953125" customWidth="1"/>
    <col min="9" max="9" width="26.453125" customWidth="1"/>
    <col min="10" max="10" width="22" style="4" customWidth="1"/>
    <col min="11" max="11" width="37" customWidth="1"/>
    <col min="12" max="12" width="21.26953125" style="4" customWidth="1"/>
    <col min="13" max="13" width="45.81640625" customWidth="1"/>
    <col min="14" max="14" width="15.26953125" customWidth="1"/>
    <col min="16" max="16" width="11.7265625" hidden="1" customWidth="1"/>
  </cols>
  <sheetData>
    <row r="1" spans="1:16" ht="30.75" customHeight="1" thickBot="1" x14ac:dyDescent="0.4">
      <c r="A1" s="1790" t="s">
        <v>415</v>
      </c>
      <c r="B1" s="1791"/>
      <c r="J1" s="986"/>
      <c r="K1" s="567"/>
      <c r="L1" s="985"/>
    </row>
    <row r="2" spans="1:16" ht="48" customHeight="1" thickBot="1" x14ac:dyDescent="0.4">
      <c r="A2" s="1682" t="s">
        <v>1132</v>
      </c>
      <c r="B2" s="1683"/>
      <c r="C2" s="1683"/>
      <c r="D2" s="1683"/>
      <c r="E2" s="1683"/>
      <c r="F2" s="1684"/>
      <c r="G2" s="320"/>
      <c r="H2" s="1765" t="s">
        <v>309</v>
      </c>
      <c r="I2" s="1768" t="s">
        <v>509</v>
      </c>
      <c r="J2" s="1769"/>
      <c r="K2" s="1769"/>
      <c r="L2" s="1769"/>
      <c r="M2" s="1770"/>
      <c r="N2" s="801"/>
    </row>
    <row r="3" spans="1:16" ht="66" customHeight="1" thickBot="1" x14ac:dyDescent="0.4">
      <c r="A3" s="1682" t="s">
        <v>1133</v>
      </c>
      <c r="B3" s="1683"/>
      <c r="C3" s="1683"/>
      <c r="D3" s="1683"/>
      <c r="E3" s="1683"/>
      <c r="F3" s="1684"/>
      <c r="G3" s="320"/>
      <c r="H3" s="1766"/>
      <c r="I3" s="1771"/>
      <c r="J3" s="1772"/>
      <c r="K3" s="1772"/>
      <c r="L3" s="1772"/>
      <c r="M3" s="1773"/>
      <c r="N3" s="801"/>
    </row>
    <row r="4" spans="1:16" ht="15" thickBot="1" x14ac:dyDescent="0.4">
      <c r="H4" s="1766"/>
      <c r="I4" s="1771"/>
      <c r="J4" s="1772"/>
      <c r="K4" s="1772"/>
      <c r="L4" s="1772"/>
      <c r="M4" s="1773"/>
      <c r="N4" s="801"/>
    </row>
    <row r="5" spans="1:16" ht="42.75" customHeight="1" thickBot="1" x14ac:dyDescent="0.4">
      <c r="A5" s="445" t="s">
        <v>1134</v>
      </c>
      <c r="B5" s="1253">
        <f>Quickstart_T1!C5</f>
        <v>975.50520514390701</v>
      </c>
      <c r="C5" s="441" t="s">
        <v>316</v>
      </c>
      <c r="D5" s="1946" t="s">
        <v>1135</v>
      </c>
      <c r="E5" s="1947"/>
      <c r="F5" s="1948"/>
      <c r="G5" s="382"/>
      <c r="H5" s="1766"/>
      <c r="I5" s="1771"/>
      <c r="J5" s="1772"/>
      <c r="K5" s="1772"/>
      <c r="L5" s="1772"/>
      <c r="M5" s="1773"/>
      <c r="N5" s="801"/>
    </row>
    <row r="6" spans="1:16" ht="47.25" customHeight="1" thickBot="1" x14ac:dyDescent="0.4">
      <c r="A6" s="445" t="s">
        <v>1136</v>
      </c>
      <c r="B6" s="1254">
        <f>SUMIF(B13:B113,"n",F13:F113)+F23</f>
        <v>0</v>
      </c>
      <c r="C6" s="441" t="s">
        <v>316</v>
      </c>
      <c r="D6" s="1949"/>
      <c r="E6" s="1950"/>
      <c r="F6" s="1951"/>
      <c r="G6" s="382"/>
      <c r="H6" s="1767"/>
      <c r="I6" s="1774"/>
      <c r="J6" s="1775"/>
      <c r="K6" s="1775"/>
      <c r="L6" s="1775"/>
      <c r="M6" s="1776"/>
      <c r="N6" s="801"/>
    </row>
    <row r="7" spans="1:16" ht="15" thickBot="1" x14ac:dyDescent="0.4"/>
    <row r="8" spans="1:16" ht="45.75" customHeight="1" x14ac:dyDescent="0.35">
      <c r="A8" s="1075" t="s">
        <v>1137</v>
      </c>
      <c r="B8" s="1077">
        <f>COUNTIF(I13:I113,"High")</f>
        <v>0</v>
      </c>
      <c r="C8" s="944" t="s">
        <v>1138</v>
      </c>
      <c r="D8" s="1061">
        <f>SUMIF(I13:I113,"High",D13:D113)</f>
        <v>0</v>
      </c>
      <c r="E8" s="1081" t="s">
        <v>1139</v>
      </c>
      <c r="F8" s="1082">
        <f>SUMIF(I13:I113,"High",G13:G113)</f>
        <v>0</v>
      </c>
      <c r="J8"/>
      <c r="L8"/>
    </row>
    <row r="9" spans="1:16" ht="49.5" customHeight="1" thickBot="1" x14ac:dyDescent="0.4">
      <c r="A9" s="1076" t="s">
        <v>1140</v>
      </c>
      <c r="B9" s="1078">
        <f>COUNTIF(I13:I113,"Medium")</f>
        <v>0</v>
      </c>
      <c r="C9" s="945" t="s">
        <v>1141</v>
      </c>
      <c r="D9" s="1062">
        <f>SUMIF(I13:I113,"Medium",D13:D113)</f>
        <v>0</v>
      </c>
      <c r="E9" s="1074" t="s">
        <v>1142</v>
      </c>
      <c r="F9" s="1083">
        <f>SUMIF(I13:I113,"Medium",G13:G113)</f>
        <v>0</v>
      </c>
      <c r="J9"/>
      <c r="L9"/>
    </row>
    <row r="10" spans="1:16" ht="15" thickBot="1" x14ac:dyDescent="0.4">
      <c r="J10" s="986"/>
      <c r="K10" s="567"/>
      <c r="L10" s="985"/>
    </row>
    <row r="11" spans="1:16" ht="93.75" customHeight="1" thickBot="1" x14ac:dyDescent="0.4">
      <c r="A11" s="233" t="s">
        <v>1143</v>
      </c>
      <c r="B11" s="475" t="s">
        <v>1144</v>
      </c>
      <c r="C11" s="171" t="s">
        <v>1145</v>
      </c>
      <c r="D11" s="171" t="s">
        <v>1146</v>
      </c>
      <c r="E11" s="171" t="s">
        <v>1147</v>
      </c>
      <c r="F11" s="171" t="s">
        <v>1148</v>
      </c>
      <c r="G11" s="171" t="s">
        <v>1149</v>
      </c>
      <c r="H11" s="171" t="s">
        <v>1150</v>
      </c>
      <c r="I11" s="171" t="s">
        <v>1151</v>
      </c>
      <c r="J11" s="247" t="s">
        <v>544</v>
      </c>
      <c r="K11" s="1068" t="s">
        <v>1152</v>
      </c>
      <c r="L11" s="1069" t="s">
        <v>1153</v>
      </c>
      <c r="M11" s="1068" t="s">
        <v>1154</v>
      </c>
      <c r="N11" s="1069" t="s">
        <v>1155</v>
      </c>
      <c r="P11" s="1054" t="s">
        <v>474</v>
      </c>
    </row>
    <row r="12" spans="1:16" ht="51.75" customHeight="1" thickBot="1" x14ac:dyDescent="0.4">
      <c r="A12" s="946" t="s">
        <v>1156</v>
      </c>
      <c r="B12" s="1073" t="s">
        <v>1157</v>
      </c>
      <c r="C12" s="228" t="s">
        <v>1158</v>
      </c>
      <c r="D12" s="228" t="s">
        <v>517</v>
      </c>
      <c r="E12" s="981" t="s">
        <v>1159</v>
      </c>
      <c r="F12" s="228" t="s">
        <v>1160</v>
      </c>
      <c r="G12" s="228" t="s">
        <v>517</v>
      </c>
      <c r="H12" s="228" t="s">
        <v>1160</v>
      </c>
      <c r="I12" s="981" t="s">
        <v>1161</v>
      </c>
      <c r="J12" s="977" t="s">
        <v>561</v>
      </c>
      <c r="K12" s="1066" t="s">
        <v>1162</v>
      </c>
      <c r="L12" s="1067" t="s">
        <v>517</v>
      </c>
      <c r="M12" s="1066" t="s">
        <v>1162</v>
      </c>
      <c r="N12" s="1067" t="s">
        <v>517</v>
      </c>
      <c r="P12" s="1055" t="s">
        <v>471</v>
      </c>
    </row>
    <row r="13" spans="1:16" x14ac:dyDescent="0.35">
      <c r="A13" s="982" t="str">
        <f>IFERROR(('Spend mapping'!A11),"")</f>
        <v>Anesthetic Gases</v>
      </c>
      <c r="B13" s="1393"/>
      <c r="C13" s="1044"/>
      <c r="D13" s="1195">
        <f t="shared" ref="D13:D44" si="0">IFERROR(C13/SUM($C$13:$C$113),"")</f>
        <v>0</v>
      </c>
      <c r="E13" s="983">
        <f>IFERROR(VLOOKUP(A13,'Spend mapping'!$A$11:$C$100,3,0),"Not yet mapped. See 'Spend mapping' sheet")</f>
        <v>1.4978540479526063</v>
      </c>
      <c r="F13" s="589" t="str">
        <f>IFERROR(IF(B13="N",(C13*E13),""),"")</f>
        <v/>
      </c>
      <c r="G13" s="1195" t="str">
        <f t="shared" ref="G13:G44" si="1">IFERROR(F13/SUM($F$13:$F$113),"Not yet mapped")</f>
        <v>Not yet mapped</v>
      </c>
      <c r="H13" s="500" t="str">
        <f>IFERROR(IF(B13="N",(((C13-'T3 calcs'!C6)*Procurement_T2!E13))+(('T3 calcs'!D6)),""),"")</f>
        <v/>
      </c>
      <c r="I13" s="204" t="str">
        <f>IF(G13&lt;=1%,"Low",IF(G13&lt;=5%,"Medium",IF(G13="Not yet mapped","Not yet mapped",IF(G13&gt;=5%,"High"))))</f>
        <v>Not yet mapped</v>
      </c>
      <c r="J13" s="205" t="s">
        <v>192</v>
      </c>
      <c r="K13" s="1063" t="str" cm="1">
        <f t="array" ref="K13">IFERROR(INDEX('Procurement lookup'!$A$1:$A$101,SMALL('Procurement lookup'!$I$1:$I$101,ROW(F1)),1),"")</f>
        <v/>
      </c>
      <c r="L13" s="1243" t="str">
        <f>IFERROR((VLOOKUP(K13,$A$13:$J$113,7,0)),"")</f>
        <v/>
      </c>
      <c r="M13" s="1063" t="str" cm="1">
        <f t="array" ref="M13">IFERROR(INDEX('Procurement lookup'!$A$1:$A$101,SMALL('Procurement lookup'!$J$1:$J$101,ROW(I1)),1),"")</f>
        <v/>
      </c>
      <c r="N13" s="1070" t="str">
        <f>IFERROR((VLOOKUP(M13,$A$13:$J$113,7,0)),"")</f>
        <v/>
      </c>
      <c r="P13" s="1056" t="s">
        <v>473</v>
      </c>
    </row>
    <row r="14" spans="1:16" ht="15.75" customHeight="1" thickBot="1" x14ac:dyDescent="0.4">
      <c r="A14" s="947" t="str">
        <f>IFERROR(('Spend mapping'!A12),"")</f>
        <v>Building fuels, generator diesel, gas etc.  </v>
      </c>
      <c r="B14" s="1394" t="s">
        <v>473</v>
      </c>
      <c r="C14" s="1045">
        <v>50</v>
      </c>
      <c r="D14" s="1196">
        <f t="shared" si="0"/>
        <v>8.9285714285714288E-2</v>
      </c>
      <c r="E14" s="949">
        <f>IFERROR(VLOOKUP(A14,'Spend mapping'!$A$11:$C$100,3,0),"Not yet mapped. See 'Spend mapping' sheet")</f>
        <v>1.4942817732753952</v>
      </c>
      <c r="F14" s="584" t="str">
        <f t="shared" ref="F14:F77" si="2">IFERROR(IF(B14="N",(C14*E14),""),"")</f>
        <v/>
      </c>
      <c r="G14" s="1196" t="str">
        <f t="shared" si="1"/>
        <v>Not yet mapped</v>
      </c>
      <c r="H14" s="501" t="str">
        <f>IFERROR(IF(B14="N",(((C14-'T3 calcs'!C7)*Procurement_T2!E14))+(('T3 calcs'!D7)),""),"")</f>
        <v/>
      </c>
      <c r="I14" s="165" t="str">
        <f t="shared" ref="I14:I77" si="3">IF(G14&lt;=1%,"Low",IF(G14&lt;=5%,"Medium",IF(G14="Not yet mapped","Not yet mapped",IF(G14&gt;=5%,"High"))))</f>
        <v>Not yet mapped</v>
      </c>
      <c r="J14" s="181" t="s">
        <v>192</v>
      </c>
      <c r="K14" s="1064" t="str" cm="1">
        <f t="array" ref="K14">IFERROR(INDEX('Procurement lookup'!$A$1:$A$101,SMALL('Procurement lookup'!$I$1:$I$101,ROW(F2)),1),"")</f>
        <v/>
      </c>
      <c r="L14" s="1244" t="str">
        <f t="shared" ref="L14" si="4">IFERROR((VLOOKUP(K14,$A$13:$J$113,7,0)),"")</f>
        <v/>
      </c>
      <c r="M14" s="1064" t="str" cm="1">
        <f t="array" ref="M14">IFERROR(INDEX('Procurement lookup'!$A$1:$A$101,SMALL('Procurement lookup'!$J$1:$J$101,ROW(I2)),1),"")</f>
        <v/>
      </c>
      <c r="N14" s="1071" t="str">
        <f t="shared" ref="N14:N76" si="5">IFERROR((VLOOKUP(M14,$A$13:$J$113,7,0)),"")</f>
        <v/>
      </c>
      <c r="P14" s="1057" t="s">
        <v>480</v>
      </c>
    </row>
    <row r="15" spans="1:16" x14ac:dyDescent="0.35">
      <c r="A15" s="947" t="str">
        <f>IFERROR(('Spend mapping'!A13),"")</f>
        <v>Animal and Animal Supplies</v>
      </c>
      <c r="B15" s="1394" t="s">
        <v>473</v>
      </c>
      <c r="C15" s="1045">
        <v>10</v>
      </c>
      <c r="D15" s="1196">
        <f t="shared" si="0"/>
        <v>1.7857142857142856E-2</v>
      </c>
      <c r="E15" s="949">
        <f>IFERROR(VLOOKUP(A15,'Spend mapping'!$A$11:$C$100,3,0),"Not yet mapped. See 'Spend mapping' sheet")</f>
        <v>0.65770301945775445</v>
      </c>
      <c r="F15" s="584" t="str">
        <f t="shared" si="2"/>
        <v/>
      </c>
      <c r="G15" s="1196" t="str">
        <f t="shared" si="1"/>
        <v>Not yet mapped</v>
      </c>
      <c r="H15" s="501" t="str">
        <f>IFERROR(IF(B15="N",(((C15-'T3 calcs'!C8)*Procurement_T2!E15))+(('T3 calcs'!D8)),""),"")</f>
        <v/>
      </c>
      <c r="I15" s="165" t="str">
        <f t="shared" si="3"/>
        <v>Not yet mapped</v>
      </c>
      <c r="J15" s="181" t="s">
        <v>192</v>
      </c>
      <c r="K15" s="1064" t="str" cm="1">
        <f t="array" ref="K15">IFERROR(INDEX('Procurement lookup'!$A$1:$A$101,SMALL('Procurement lookup'!$I$1:$I$101,ROW(F3)),1),"")</f>
        <v/>
      </c>
      <c r="L15" s="1244" t="str">
        <f t="shared" ref="L15:L78" si="6">IFERROR((VLOOKUP(K15,$A$13:$J$113,7,0)),"")</f>
        <v/>
      </c>
      <c r="M15" s="1064" t="str" cm="1">
        <f t="array" ref="M15">IFERROR(INDEX('Procurement lookup'!$A$1:$A$101,SMALL('Procurement lookup'!$J$1:$J$101,ROW(I3)),1),"")</f>
        <v/>
      </c>
      <c r="N15" s="1071" t="str">
        <f t="shared" si="5"/>
        <v/>
      </c>
    </row>
    <row r="16" spans="1:16" x14ac:dyDescent="0.35">
      <c r="A16" s="947" t="str">
        <f>IFERROR(('Spend mapping'!A14),"")</f>
        <v>Cleaning Supplies</v>
      </c>
      <c r="B16" s="1394"/>
      <c r="C16" s="1045"/>
      <c r="D16" s="1196">
        <f t="shared" si="0"/>
        <v>0</v>
      </c>
      <c r="E16" s="949">
        <f>IFERROR(VLOOKUP(A16,'Spend mapping'!$A$11:$C$100,3,0),"Not yet mapped. See 'Spend mapping' sheet")</f>
        <v>7.7102339093611527E-2</v>
      </c>
      <c r="F16" s="584" t="str">
        <f t="shared" si="2"/>
        <v/>
      </c>
      <c r="G16" s="1196" t="str">
        <f t="shared" si="1"/>
        <v>Not yet mapped</v>
      </c>
      <c r="H16" s="501" t="str">
        <f>IFERROR(IF(B16="N",(((C16-'T3 calcs'!C9)*Procurement_T2!E16))+(('T3 calcs'!D9)),""),"")</f>
        <v/>
      </c>
      <c r="I16" s="165" t="str">
        <f t="shared" si="3"/>
        <v>Not yet mapped</v>
      </c>
      <c r="J16" s="181" t="s">
        <v>192</v>
      </c>
      <c r="K16" s="1064" t="str" cm="1">
        <f t="array" ref="K16">IFERROR(INDEX('Procurement lookup'!$A$1:$A$101,SMALL('Procurement lookup'!$I$1:$I$101,ROW(F4)),1),"")</f>
        <v/>
      </c>
      <c r="L16" s="1244" t="str">
        <f t="shared" si="6"/>
        <v/>
      </c>
      <c r="M16" s="1064" t="str" cm="1">
        <f t="array" ref="M16">IFERROR(INDEX('Procurement lookup'!$A$1:$A$101,SMALL('Procurement lookup'!$J$1:$J$101,ROW(I4)),1),"")</f>
        <v/>
      </c>
      <c r="N16" s="1071" t="str">
        <f t="shared" si="5"/>
        <v/>
      </c>
    </row>
    <row r="17" spans="1:14" x14ac:dyDescent="0.35">
      <c r="A17" s="947" t="str">
        <f>IFERROR(('Spend mapping'!A15),"")</f>
        <v xml:space="preserve">Dental supplies </v>
      </c>
      <c r="B17" s="1394"/>
      <c r="C17" s="1045"/>
      <c r="D17" s="1196">
        <f t="shared" si="0"/>
        <v>0</v>
      </c>
      <c r="E17" s="949">
        <f>IFERROR(VLOOKUP(A17,'Spend mapping'!$A$11:$C$100,3,0),"Not yet mapped. See 'Spend mapping' sheet")</f>
        <v>1.4978540479526079</v>
      </c>
      <c r="F17" s="584" t="str">
        <f t="shared" si="2"/>
        <v/>
      </c>
      <c r="G17" s="1196" t="str">
        <f t="shared" si="1"/>
        <v>Not yet mapped</v>
      </c>
      <c r="H17" s="501" t="str">
        <f>IFERROR(IF(B17="N",(((C17-'T3 calcs'!C10)*Procurement_T2!E17))+(('T3 calcs'!D10)),""),"")</f>
        <v/>
      </c>
      <c r="I17" s="165" t="str">
        <f t="shared" si="3"/>
        <v>Not yet mapped</v>
      </c>
      <c r="J17" s="181" t="s">
        <v>192</v>
      </c>
      <c r="K17" s="1064" t="str" cm="1">
        <f t="array" ref="K17">IFERROR(INDEX('Procurement lookup'!$A$1:$A$101,SMALL('Procurement lookup'!$I$1:$I$101,ROW(F5)),1),"")</f>
        <v/>
      </c>
      <c r="L17" s="1244" t="str">
        <f t="shared" si="6"/>
        <v/>
      </c>
      <c r="M17" s="1064" t="str" cm="1">
        <f t="array" ref="M17">IFERROR(INDEX('Procurement lookup'!$A$1:$A$101,SMALL('Procurement lookup'!$J$1:$J$101,ROW(I5)),1),"")</f>
        <v/>
      </c>
      <c r="N17" s="1071" t="str">
        <f t="shared" si="5"/>
        <v/>
      </c>
    </row>
    <row r="18" spans="1:14" x14ac:dyDescent="0.35">
      <c r="A18" s="947" t="str">
        <f>IFERROR(('Spend mapping'!A16),"")</f>
        <v>Communication Accessories</v>
      </c>
      <c r="B18" s="1394"/>
      <c r="C18" s="1045"/>
      <c r="D18" s="1196">
        <f t="shared" si="0"/>
        <v>0</v>
      </c>
      <c r="E18" s="949">
        <f>IFERROR(VLOOKUP(A18,'Spend mapping'!$A$11:$C$100,3,0),"Not yet mapped. See 'Spend mapping' sheet")</f>
        <v>0.54685807069270498</v>
      </c>
      <c r="F18" s="584" t="str">
        <f t="shared" si="2"/>
        <v/>
      </c>
      <c r="G18" s="1196" t="str">
        <f t="shared" si="1"/>
        <v>Not yet mapped</v>
      </c>
      <c r="H18" s="501" t="str">
        <f>IFERROR(IF(B18="N",(((C18-'T3 calcs'!C11)*Procurement_T2!E18))+(('T3 calcs'!D11)),""),"")</f>
        <v/>
      </c>
      <c r="I18" s="165" t="str">
        <f t="shared" si="3"/>
        <v>Not yet mapped</v>
      </c>
      <c r="J18" s="181" t="s">
        <v>192</v>
      </c>
      <c r="K18" s="1064" t="str" cm="1">
        <f t="array" ref="K18">IFERROR(INDEX('Procurement lookup'!$A$1:$A$101,SMALL('Procurement lookup'!$I$1:$I$101,ROW(F6)),1),"")</f>
        <v/>
      </c>
      <c r="L18" s="1244" t="str">
        <f t="shared" si="6"/>
        <v/>
      </c>
      <c r="M18" s="1064" t="str" cm="1">
        <f t="array" ref="M18">IFERROR(INDEX('Procurement lookup'!$A$1:$A$101,SMALL('Procurement lookup'!$J$1:$J$101,ROW(I6)),1),"")</f>
        <v/>
      </c>
      <c r="N18" s="1071" t="str">
        <f t="shared" si="5"/>
        <v/>
      </c>
    </row>
    <row r="19" spans="1:14" x14ac:dyDescent="0.35">
      <c r="A19" s="947" t="str">
        <f>IFERROR(('Spend mapping'!A17),"")</f>
        <v>Communication Equipment</v>
      </c>
      <c r="B19" s="1394"/>
      <c r="C19" s="1045"/>
      <c r="D19" s="1196">
        <f t="shared" si="0"/>
        <v>0</v>
      </c>
      <c r="E19" s="949">
        <f>IFERROR(VLOOKUP(A19,'Spend mapping'!$A$11:$C$100,3,0),"Not yet mapped. See 'Spend mapping' sheet")</f>
        <v>0.28938747931464609</v>
      </c>
      <c r="F19" s="584" t="str">
        <f t="shared" si="2"/>
        <v/>
      </c>
      <c r="G19" s="1196" t="str">
        <f t="shared" si="1"/>
        <v>Not yet mapped</v>
      </c>
      <c r="H19" s="501" t="str">
        <f>IFERROR(IF(B19="N",(((C19-'T3 calcs'!C12)*Procurement_T2!E19))+(('T3 calcs'!D12)),""),"")</f>
        <v/>
      </c>
      <c r="I19" s="165" t="str">
        <f t="shared" si="3"/>
        <v>Not yet mapped</v>
      </c>
      <c r="J19" s="181" t="s">
        <v>192</v>
      </c>
      <c r="K19" s="1064" t="str" cm="1">
        <f t="array" ref="K19">IFERROR(INDEX('Procurement lookup'!$A$1:$A$101,SMALL('Procurement lookup'!$I$1:$I$101,ROW(F7)),1),"")</f>
        <v/>
      </c>
      <c r="L19" s="1244" t="str">
        <f t="shared" si="6"/>
        <v/>
      </c>
      <c r="M19" s="1064" t="str" cm="1">
        <f t="array" ref="M19">IFERROR(INDEX('Procurement lookup'!$A$1:$A$101,SMALL('Procurement lookup'!$J$1:$J$101,ROW(I7)),1),"")</f>
        <v/>
      </c>
      <c r="N19" s="1071" t="str">
        <f t="shared" si="5"/>
        <v/>
      </c>
    </row>
    <row r="20" spans="1:14" x14ac:dyDescent="0.35">
      <c r="A20" s="947" t="str">
        <f>IFERROR(('Spend mapping'!A18),"")</f>
        <v>Communication Supplies</v>
      </c>
      <c r="B20" s="1394"/>
      <c r="C20" s="1045"/>
      <c r="D20" s="1196">
        <f t="shared" si="0"/>
        <v>0</v>
      </c>
      <c r="E20" s="949">
        <f>IFERROR(VLOOKUP(A20,'Spend mapping'!$A$11:$C$100,3,0),"Not yet mapped. See 'Spend mapping' sheet")</f>
        <v>0.1624512720092442</v>
      </c>
      <c r="F20" s="584" t="str">
        <f t="shared" si="2"/>
        <v/>
      </c>
      <c r="G20" s="1196" t="str">
        <f t="shared" si="1"/>
        <v>Not yet mapped</v>
      </c>
      <c r="H20" s="501" t="str">
        <f>IFERROR(IF(B20="N",(((C20-'T3 calcs'!C13)*Procurement_T2!E20))+(('T3 calcs'!D13)),""),"")</f>
        <v/>
      </c>
      <c r="I20" s="165" t="str">
        <f t="shared" si="3"/>
        <v>Not yet mapped</v>
      </c>
      <c r="J20" s="181" t="s">
        <v>192</v>
      </c>
      <c r="K20" s="1064" t="str" cm="1">
        <f t="array" ref="K20">IFERROR(INDEX('Procurement lookup'!$A$1:$A$101,SMALL('Procurement lookup'!$I$1:$I$101,ROW(F8)),1),"")</f>
        <v/>
      </c>
      <c r="L20" s="1244" t="str">
        <f t="shared" si="6"/>
        <v/>
      </c>
      <c r="M20" s="1064" t="str" cm="1">
        <f t="array" ref="M20">IFERROR(INDEX('Procurement lookup'!$A$1:$A$101,SMALL('Procurement lookup'!$J$1:$J$101,ROW(B8)),1),"")</f>
        <v/>
      </c>
      <c r="N20" s="1071" t="str">
        <f t="shared" si="5"/>
        <v/>
      </c>
    </row>
    <row r="21" spans="1:14" x14ac:dyDescent="0.35">
      <c r="A21" s="947" t="str">
        <f>IFERROR(('Spend mapping'!A19),"")</f>
        <v>Computer Hardware Maintenance</v>
      </c>
      <c r="B21" s="1394"/>
      <c r="C21" s="1045"/>
      <c r="D21" s="1196">
        <f t="shared" si="0"/>
        <v>0</v>
      </c>
      <c r="E21" s="949">
        <f>IFERROR(VLOOKUP(A21,'Spend mapping'!$A$11:$C$100,3,0),"Not yet mapped. See 'Spend mapping' sheet")</f>
        <v>0.54685807069270498</v>
      </c>
      <c r="F21" s="584" t="str">
        <f t="shared" si="2"/>
        <v/>
      </c>
      <c r="G21" s="1196" t="str">
        <f t="shared" si="1"/>
        <v>Not yet mapped</v>
      </c>
      <c r="H21" s="501" t="str">
        <f>IFERROR(IF(B21="N",(((C21-'T3 calcs'!C14)*Procurement_T2!E21))+(('T3 calcs'!D14)),""),"")</f>
        <v/>
      </c>
      <c r="I21" s="165" t="str">
        <f t="shared" si="3"/>
        <v>Not yet mapped</v>
      </c>
      <c r="J21" s="181" t="s">
        <v>192</v>
      </c>
      <c r="K21" s="1064" t="str" cm="1">
        <f t="array" ref="K21">IFERROR(INDEX('Procurement lookup'!$A$1:$A$101,SMALL('Procurement lookup'!$I$1:$I$101,ROW(F9)),1),"")</f>
        <v/>
      </c>
      <c r="L21" s="1244" t="str">
        <f t="shared" si="6"/>
        <v/>
      </c>
      <c r="M21" s="1064" t="str" cm="1">
        <f t="array" ref="M21">IFERROR(INDEX('Procurement lookup'!$A$1:$A$101,SMALL('Procurement lookup'!$J$1:$J$101,ROW(B9)),1),"")</f>
        <v/>
      </c>
      <c r="N21" s="1071" t="str">
        <f t="shared" si="5"/>
        <v/>
      </c>
    </row>
    <row r="22" spans="1:14" x14ac:dyDescent="0.35">
      <c r="A22" s="947" t="str">
        <f>IFERROR(('Spend mapping'!A20),"")</f>
        <v>Computer S/W License &amp; Rental</v>
      </c>
      <c r="B22" s="1394"/>
      <c r="C22" s="1045"/>
      <c r="D22" s="1196">
        <f t="shared" si="0"/>
        <v>0</v>
      </c>
      <c r="E22" s="949">
        <f>IFERROR(VLOOKUP(A22,'Spend mapping'!$A$11:$C$100,3,0),"Not yet mapped. See 'Spend mapping' sheet")</f>
        <v>0.60361316094628881</v>
      </c>
      <c r="F22" s="584" t="str">
        <f t="shared" si="2"/>
        <v/>
      </c>
      <c r="G22" s="1196" t="str">
        <f t="shared" si="1"/>
        <v>Not yet mapped</v>
      </c>
      <c r="H22" s="501" t="str">
        <f>IFERROR(IF(B22="N",(((C22-'T3 calcs'!C15)*Procurement_T2!E22))+(('T3 calcs'!D15)),""),"")</f>
        <v/>
      </c>
      <c r="I22" s="165" t="str">
        <f t="shared" si="3"/>
        <v>Not yet mapped</v>
      </c>
      <c r="J22" s="181" t="s">
        <v>192</v>
      </c>
      <c r="K22" s="1064" t="str" cm="1">
        <f t="array" ref="K22">IFERROR(INDEX('Procurement lookup'!$A$1:$A$101,SMALL('Procurement lookup'!$I$1:$I$101,ROW(F10)),1),"")</f>
        <v/>
      </c>
      <c r="L22" s="1244" t="str">
        <f t="shared" si="6"/>
        <v/>
      </c>
      <c r="M22" s="1064" t="str" cm="1">
        <f t="array" ref="M22">IFERROR(INDEX('Procurement lookup'!$A$1:$A$101,SMALL('Procurement lookup'!$J$1:$J$101,ROW(I10)),1),"")</f>
        <v/>
      </c>
      <c r="N22" s="1071" t="str">
        <f t="shared" si="5"/>
        <v/>
      </c>
    </row>
    <row r="23" spans="1:14" x14ac:dyDescent="0.35">
      <c r="A23" s="947" t="str">
        <f>IFERROR(('Spend mapping'!A21),"")</f>
        <v>Construction Materials</v>
      </c>
      <c r="B23" s="1394"/>
      <c r="C23" s="1045"/>
      <c r="D23" s="1196">
        <f t="shared" si="0"/>
        <v>0</v>
      </c>
      <c r="E23" s="949">
        <f>IFERROR(VLOOKUP(A23,'Spend mapping'!$A$11:$C$100,3,0),"Not yet mapped. See 'Spend mapping' sheet")</f>
        <v>0.26922027624802486</v>
      </c>
      <c r="F23" s="584">
        <f>IFERROR(IF(B23="N",(C23*E23),'Construction materials'!B6),"")</f>
        <v>0</v>
      </c>
      <c r="G23" s="1196" t="str">
        <f t="shared" si="1"/>
        <v>Not yet mapped</v>
      </c>
      <c r="H23" s="501">
        <f>IFERROR(IF(B23="N",(((C23-'T3 calcs'!C16)*Procurement_T2!E23))+(('T3 calcs'!D16)),F23),"")</f>
        <v>0</v>
      </c>
      <c r="I23" s="165" t="str">
        <f t="shared" si="3"/>
        <v>Not yet mapped</v>
      </c>
      <c r="J23" s="181" t="s">
        <v>192</v>
      </c>
      <c r="K23" s="1064" t="str" cm="1">
        <f t="array" ref="K23">IFERROR(INDEX('Procurement lookup'!$A$1:$A$101,SMALL('Procurement lookup'!$I$1:$I$101,ROW(F11)),1),"")</f>
        <v/>
      </c>
      <c r="L23" s="1244" t="str">
        <f t="shared" si="6"/>
        <v/>
      </c>
      <c r="M23" s="1064" t="str" cm="1">
        <f t="array" ref="M23">IFERROR(INDEX('Procurement lookup'!$A$1:$A$101,SMALL('Procurement lookup'!$J$1:$J$101,ROW(J11)),1),"")</f>
        <v/>
      </c>
      <c r="N23" s="1071" t="str">
        <f t="shared" si="5"/>
        <v/>
      </c>
    </row>
    <row r="24" spans="1:14" x14ac:dyDescent="0.35">
      <c r="A24" s="947" t="str">
        <f>IFERROR(('Spend mapping'!A22),"")</f>
        <v>Electricity</v>
      </c>
      <c r="B24" s="1394" t="s">
        <v>473</v>
      </c>
      <c r="C24" s="1045">
        <v>500</v>
      </c>
      <c r="D24" s="1196">
        <f t="shared" si="0"/>
        <v>0.8928571428571429</v>
      </c>
      <c r="E24" s="949">
        <f>IFERROR(VLOOKUP(A24,'Spend mapping'!$A$11:$C$100,3,0),"Not yet mapped. See 'Spend mapping' sheet")</f>
        <v>1.6191409333518547</v>
      </c>
      <c r="F24" s="584" t="str">
        <f t="shared" si="2"/>
        <v/>
      </c>
      <c r="G24" s="1196" t="str">
        <f t="shared" si="1"/>
        <v>Not yet mapped</v>
      </c>
      <c r="H24" s="501" t="str">
        <f>IFERROR(IF(B24="N",(((C24-'T3 calcs'!C17)*Procurement_T2!E24))+(('T3 calcs'!D17)),""),"")</f>
        <v/>
      </c>
      <c r="I24" s="165" t="str">
        <f t="shared" si="3"/>
        <v>Not yet mapped</v>
      </c>
      <c r="J24" s="181" t="s">
        <v>192</v>
      </c>
      <c r="K24" s="1064" t="str" cm="1">
        <f t="array" ref="K24">IFERROR(INDEX('Procurement lookup'!$A$1:$A$101,SMALL('Procurement lookup'!$I$1:$I$101,ROW(F12)),1),"")</f>
        <v/>
      </c>
      <c r="L24" s="1244" t="str">
        <f t="shared" si="6"/>
        <v/>
      </c>
      <c r="M24" s="1064" t="str" cm="1">
        <f t="array" ref="M24">IFERROR(INDEX('Procurement lookup'!$A$1:$A$101,SMALL('Procurement lookup'!$J$1:$J$101,ROW(J12)),1),"")</f>
        <v/>
      </c>
      <c r="N24" s="1071" t="str">
        <f t="shared" si="5"/>
        <v/>
      </c>
    </row>
    <row r="25" spans="1:14" x14ac:dyDescent="0.35">
      <c r="A25" s="947" t="str">
        <f>IFERROR(('Spend mapping'!A23),"")</f>
        <v>Employee Apparel</v>
      </c>
      <c r="B25" s="1394"/>
      <c r="C25" s="1045"/>
      <c r="D25" s="1196">
        <f t="shared" si="0"/>
        <v>0</v>
      </c>
      <c r="E25" s="949">
        <f>IFERROR(VLOOKUP(A25,'Spend mapping'!$A$11:$C$100,3,0),"Not yet mapped. See 'Spend mapping' sheet")</f>
        <v>0.20816330315263928</v>
      </c>
      <c r="F25" s="584" t="str">
        <f t="shared" si="2"/>
        <v/>
      </c>
      <c r="G25" s="1196" t="str">
        <f t="shared" si="1"/>
        <v>Not yet mapped</v>
      </c>
      <c r="H25" s="501" t="str">
        <f>IFERROR(IF(B25="N",(((C25-'T3 calcs'!C18)*Procurement_T2!E25))+(('T3 calcs'!D18)),""),"")</f>
        <v/>
      </c>
      <c r="I25" s="165" t="str">
        <f t="shared" si="3"/>
        <v>Not yet mapped</v>
      </c>
      <c r="J25" s="181" t="s">
        <v>192</v>
      </c>
      <c r="K25" s="1064" t="str" cm="1">
        <f t="array" ref="K25">IFERROR(INDEX('Procurement lookup'!$A$1:$A$101,SMALL('Procurement lookup'!$I$1:$I$101,ROW(F13)),1),"")</f>
        <v/>
      </c>
      <c r="L25" s="1244" t="str">
        <f t="shared" si="6"/>
        <v/>
      </c>
      <c r="M25" s="1064" t="str" cm="1">
        <f t="array" ref="M25">IFERROR(INDEX('Procurement lookup'!$A$1:$A$101,SMALL('Procurement lookup'!$J$1:$J$101,ROW(J13)),1),"")</f>
        <v/>
      </c>
      <c r="N25" s="1071" t="str">
        <f t="shared" si="5"/>
        <v/>
      </c>
    </row>
    <row r="26" spans="1:14" x14ac:dyDescent="0.35">
      <c r="A26" s="947" t="str">
        <f>IFERROR(('Spend mapping'!A24),"")</f>
        <v>Enteral Feeds</v>
      </c>
      <c r="B26" s="1394"/>
      <c r="C26" s="1045"/>
      <c r="D26" s="1196">
        <f t="shared" si="0"/>
        <v>0</v>
      </c>
      <c r="E26" s="949">
        <f>IFERROR(VLOOKUP(A26,'Spend mapping'!$A$11:$C$100,3,0),"Not yet mapped. See 'Spend mapping' sheet")</f>
        <v>0.32670304510099168</v>
      </c>
      <c r="F26" s="584" t="str">
        <f t="shared" si="2"/>
        <v/>
      </c>
      <c r="G26" s="1196" t="str">
        <f t="shared" si="1"/>
        <v>Not yet mapped</v>
      </c>
      <c r="H26" s="501" t="str">
        <f>IFERROR(IF(B26="N",(((C26-'T3 calcs'!C19)*Procurement_T2!E26))+(('T3 calcs'!D19)),""),"")</f>
        <v/>
      </c>
      <c r="I26" s="165" t="str">
        <f t="shared" si="3"/>
        <v>Not yet mapped</v>
      </c>
      <c r="J26" s="181" t="s">
        <v>192</v>
      </c>
      <c r="K26" s="1064" t="str" cm="1">
        <f t="array" ref="K26">IFERROR(INDEX('Procurement lookup'!$A$1:$A$101,SMALL('Procurement lookup'!$I$1:$I$101,ROW(F14)),1),"")</f>
        <v/>
      </c>
      <c r="L26" s="1244" t="str">
        <f t="shared" si="6"/>
        <v/>
      </c>
      <c r="M26" s="1064" t="str" cm="1">
        <f t="array" ref="M26">IFERROR(INDEX('Procurement lookup'!$A$1:$A$101,SMALL('Procurement lookup'!$J$1:$J$101,ROW(J14)),1),"")</f>
        <v/>
      </c>
      <c r="N26" s="1071" t="str">
        <f t="shared" si="5"/>
        <v/>
      </c>
    </row>
    <row r="27" spans="1:14" x14ac:dyDescent="0.35">
      <c r="A27" s="947" t="str">
        <f>IFERROR(('Spend mapping'!A25),"")</f>
        <v>Facilities Maintenance Equipment</v>
      </c>
      <c r="B27" s="1394"/>
      <c r="C27" s="1045"/>
      <c r="D27" s="1196">
        <f t="shared" si="0"/>
        <v>0</v>
      </c>
      <c r="E27" s="949">
        <f>IFERROR(VLOOKUP(A27,'Spend mapping'!$A$11:$C$100,3,0),"Not yet mapped. See 'Spend mapping' sheet")</f>
        <v>7.694738900307628E-2</v>
      </c>
      <c r="F27" s="584" t="str">
        <f t="shared" si="2"/>
        <v/>
      </c>
      <c r="G27" s="1196" t="str">
        <f t="shared" si="1"/>
        <v>Not yet mapped</v>
      </c>
      <c r="H27" s="501" t="str">
        <f>IFERROR(IF(B27="N",(((C27-'T3 calcs'!C20)*Procurement_T2!E27))+(('T3 calcs'!D20)),""),"")</f>
        <v/>
      </c>
      <c r="I27" s="165" t="str">
        <f t="shared" si="3"/>
        <v>Not yet mapped</v>
      </c>
      <c r="J27" s="181" t="s">
        <v>192</v>
      </c>
      <c r="K27" s="1064" t="str" cm="1">
        <f t="array" ref="K27">IFERROR(INDEX('Procurement lookup'!$A$1:$A$101,SMALL('Procurement lookup'!$I$1:$I$101,ROW(F15)),1),"")</f>
        <v/>
      </c>
      <c r="L27" s="1244" t="str">
        <f t="shared" si="6"/>
        <v/>
      </c>
      <c r="M27" s="1064" t="str" cm="1">
        <f t="array" ref="M27">IFERROR(INDEX('Procurement lookup'!$A$1:$A$101,SMALL('Procurement lookup'!$J$1:$J$101,ROW(J15)),1),"")</f>
        <v/>
      </c>
      <c r="N27" s="1071" t="str">
        <f t="shared" si="5"/>
        <v/>
      </c>
    </row>
    <row r="28" spans="1:14" x14ac:dyDescent="0.35">
      <c r="A28" s="947" t="str">
        <f>IFERROR(('Spend mapping'!A26),"")</f>
        <v>Fast Moving Consumer Goods</v>
      </c>
      <c r="B28" s="1394"/>
      <c r="C28" s="1045"/>
      <c r="D28" s="1196">
        <f t="shared" si="0"/>
        <v>0</v>
      </c>
      <c r="E28" s="949">
        <f>IFERROR(VLOOKUP(A28,'Spend mapping'!$A$11:$C$100,3,0),"Not yet mapped. See 'Spend mapping' sheet")</f>
        <v>6.4145617108595981E-2</v>
      </c>
      <c r="F28" s="584" t="str">
        <f t="shared" si="2"/>
        <v/>
      </c>
      <c r="G28" s="1196" t="str">
        <f t="shared" si="1"/>
        <v>Not yet mapped</v>
      </c>
      <c r="H28" s="501" t="str">
        <f>IFERROR(IF(B28="N",(((C28-'T3 calcs'!C21)*Procurement_T2!E28))+(('T3 calcs'!D21)),""),"")</f>
        <v/>
      </c>
      <c r="I28" s="165" t="str">
        <f t="shared" si="3"/>
        <v>Not yet mapped</v>
      </c>
      <c r="J28" s="181" t="s">
        <v>192</v>
      </c>
      <c r="K28" s="1064" t="str" cm="1">
        <f t="array" ref="K28">IFERROR(INDEX('Procurement lookup'!$A$1:$A$101,SMALL('Procurement lookup'!$I$1:$I$101,ROW(F16)),1),"")</f>
        <v/>
      </c>
      <c r="L28" s="1244" t="str">
        <f t="shared" si="6"/>
        <v/>
      </c>
      <c r="M28" s="1064" t="str" cm="1">
        <f t="array" ref="M28">IFERROR(INDEX('Procurement lookup'!$A$1:$A$101,SMALL('Procurement lookup'!$J$1:$J$101,ROW(J16)),1),"")</f>
        <v/>
      </c>
      <c r="N28" s="1071" t="str">
        <f t="shared" si="5"/>
        <v/>
      </c>
    </row>
    <row r="29" spans="1:14" x14ac:dyDescent="0.35">
      <c r="A29" s="947" t="str">
        <f>IFERROR(('Spend mapping'!A27),"")</f>
        <v>Food Supplies</v>
      </c>
      <c r="B29" s="1394"/>
      <c r="C29" s="1045"/>
      <c r="D29" s="1196">
        <f t="shared" si="0"/>
        <v>0</v>
      </c>
      <c r="E29" s="949">
        <f>IFERROR(VLOOKUP(A29,'Spend mapping'!$A$11:$C$100,3,0),"Not yet mapped. See 'Spend mapping' sheet")</f>
        <v>0.41414750625716223</v>
      </c>
      <c r="F29" s="584" t="str">
        <f t="shared" si="2"/>
        <v/>
      </c>
      <c r="G29" s="1196" t="str">
        <f t="shared" si="1"/>
        <v>Not yet mapped</v>
      </c>
      <c r="H29" s="501" t="str">
        <f>IFERROR(IF(B29="N",(((C29-'T3 calcs'!C22)*Procurement_T2!E29))+(('T3 calcs'!D22)),""),"")</f>
        <v/>
      </c>
      <c r="I29" s="165" t="str">
        <f t="shared" si="3"/>
        <v>Not yet mapped</v>
      </c>
      <c r="J29" s="181" t="s">
        <v>192</v>
      </c>
      <c r="K29" s="1064" t="str" cm="1">
        <f t="array" ref="K29">IFERROR(INDEX('Procurement lookup'!$A$1:$A$101,SMALL('Procurement lookup'!$I$1:$I$101,ROW(F17)),1),"")</f>
        <v/>
      </c>
      <c r="L29" s="1244" t="str">
        <f t="shared" si="6"/>
        <v/>
      </c>
      <c r="M29" s="1064" t="str" cm="1">
        <f t="array" ref="M29">IFERROR(INDEX('Procurement lookup'!$A$1:$A$101,SMALL('Procurement lookup'!$J$1:$J$101,ROW(J17)),1),"")</f>
        <v/>
      </c>
      <c r="N29" s="1071" t="str">
        <f t="shared" si="5"/>
        <v/>
      </c>
    </row>
    <row r="30" spans="1:14" x14ac:dyDescent="0.35">
      <c r="A30" s="947" t="str">
        <f>IFERROR(('Spend mapping'!A28),"")</f>
        <v>Fuel and Lubricants</v>
      </c>
      <c r="B30" s="1394"/>
      <c r="C30" s="1045"/>
      <c r="D30" s="1196">
        <f t="shared" si="0"/>
        <v>0</v>
      </c>
      <c r="E30" s="949">
        <f>IFERROR(VLOOKUP(A30,'Spend mapping'!$A$11:$C$100,3,0),"Not yet mapped. See 'Spend mapping' sheet")</f>
        <v>1.5196815769955567</v>
      </c>
      <c r="F30" s="584" t="str">
        <f t="shared" si="2"/>
        <v/>
      </c>
      <c r="G30" s="1196" t="str">
        <f t="shared" si="1"/>
        <v>Not yet mapped</v>
      </c>
      <c r="H30" s="501" t="str">
        <f>IFERROR(IF(B30="N",(((C30-'T3 calcs'!C23)*Procurement_T2!E30))+(('T3 calcs'!D23)),""),"")</f>
        <v/>
      </c>
      <c r="I30" s="165" t="str">
        <f t="shared" si="3"/>
        <v>Not yet mapped</v>
      </c>
      <c r="J30" s="181" t="s">
        <v>192</v>
      </c>
      <c r="K30" s="1064" t="str" cm="1">
        <f t="array" ref="K30">IFERROR(INDEX('Procurement lookup'!$A$1:$A$101,SMALL('Procurement lookup'!$I$1:$I$101,ROW(F18)),1),"")</f>
        <v/>
      </c>
      <c r="L30" s="1244" t="str">
        <f t="shared" si="6"/>
        <v/>
      </c>
      <c r="M30" s="1064" t="str" cm="1">
        <f t="array" ref="M30">IFERROR(INDEX('Procurement lookup'!$A$1:$A$101,SMALL('Procurement lookup'!$J$1:$J$101,ROW(J18)),1),"")</f>
        <v/>
      </c>
      <c r="N30" s="1071" t="str">
        <f t="shared" si="5"/>
        <v/>
      </c>
    </row>
    <row r="31" spans="1:14" x14ac:dyDescent="0.35">
      <c r="A31" s="947" t="str">
        <f>IFERROR(('Spend mapping'!A29),"")</f>
        <v>Furniture &amp; Fixture</v>
      </c>
      <c r="B31" s="1394"/>
      <c r="C31" s="1045"/>
      <c r="D31" s="1196">
        <f t="shared" si="0"/>
        <v>0</v>
      </c>
      <c r="E31" s="949">
        <f>IFERROR(VLOOKUP(A31,'Spend mapping'!$A$11:$C$100,3,0),"Not yet mapped. See 'Spend mapping' sheet")</f>
        <v>0.10885853146011447</v>
      </c>
      <c r="F31" s="584" t="str">
        <f t="shared" si="2"/>
        <v/>
      </c>
      <c r="G31" s="1196" t="str">
        <f t="shared" si="1"/>
        <v>Not yet mapped</v>
      </c>
      <c r="H31" s="501" t="str">
        <f>IFERROR(IF(B31="N",(((C31-'T3 calcs'!C24)*Procurement_T2!E31))+(('T3 calcs'!D24)),""),"")</f>
        <v/>
      </c>
      <c r="I31" s="165" t="str">
        <f t="shared" si="3"/>
        <v>Not yet mapped</v>
      </c>
      <c r="J31" s="181" t="s">
        <v>192</v>
      </c>
      <c r="K31" s="1064" t="str" cm="1">
        <f t="array" ref="K31">IFERROR(INDEX('Procurement lookup'!$A$1:$A$101,SMALL('Procurement lookup'!$I$1:$I$101,ROW(F19)),1),"")</f>
        <v/>
      </c>
      <c r="L31" s="1244" t="str">
        <f t="shared" si="6"/>
        <v/>
      </c>
      <c r="M31" s="1064" t="str" cm="1">
        <f t="array" ref="M31">IFERROR(INDEX('Procurement lookup'!$A$1:$A$101,SMALL('Procurement lookup'!$J$1:$J$101,ROW(J19)),1),"")</f>
        <v/>
      </c>
      <c r="N31" s="1071" t="str">
        <f t="shared" si="5"/>
        <v/>
      </c>
    </row>
    <row r="32" spans="1:14" x14ac:dyDescent="0.35">
      <c r="A32" s="947" t="str">
        <f>IFERROR(('Spend mapping'!A30),"")</f>
        <v>Gift shop supplies</v>
      </c>
      <c r="B32" s="1394"/>
      <c r="C32" s="1045"/>
      <c r="D32" s="1196">
        <f t="shared" si="0"/>
        <v>0</v>
      </c>
      <c r="E32" s="949">
        <f>IFERROR(VLOOKUP(A32,'Spend mapping'!$A$11:$C$100,3,0),"Not yet mapped. See 'Spend mapping' sheet")</f>
        <v>0.31112347269860907</v>
      </c>
      <c r="F32" s="584" t="str">
        <f t="shared" si="2"/>
        <v/>
      </c>
      <c r="G32" s="1196" t="str">
        <f t="shared" si="1"/>
        <v>Not yet mapped</v>
      </c>
      <c r="H32" s="501" t="str">
        <f>IFERROR(IF(B32="N",(((C32-'T3 calcs'!C25)*Procurement_T2!E32))+(('T3 calcs'!D25)),""),"")</f>
        <v/>
      </c>
      <c r="I32" s="165" t="str">
        <f t="shared" si="3"/>
        <v>Not yet mapped</v>
      </c>
      <c r="J32" s="181" t="s">
        <v>192</v>
      </c>
      <c r="K32" s="1064" t="str" cm="1">
        <f t="array" ref="K32">IFERROR(INDEX('Procurement lookup'!$A$1:$A$101,SMALL('Procurement lookup'!$I$1:$I$101,ROW(F20)),1),"")</f>
        <v/>
      </c>
      <c r="L32" s="1244" t="str">
        <f t="shared" si="6"/>
        <v/>
      </c>
      <c r="M32" s="1064" t="str" cm="1">
        <f t="array" ref="M32">IFERROR(INDEX('Procurement lookup'!$A$1:$A$101,SMALL('Procurement lookup'!$J$1:$J$101,ROW(J20)),1),"")</f>
        <v/>
      </c>
      <c r="N32" s="1071" t="str">
        <f t="shared" si="5"/>
        <v/>
      </c>
    </row>
    <row r="33" spans="1:14" x14ac:dyDescent="0.35">
      <c r="A33" s="947" t="str">
        <f>IFERROR(('Spend mapping'!A31),"")</f>
        <v>Gas (Utility)</v>
      </c>
      <c r="B33" s="1394"/>
      <c r="C33" s="1045"/>
      <c r="D33" s="1196">
        <f t="shared" si="0"/>
        <v>0</v>
      </c>
      <c r="E33" s="949">
        <f>IFERROR(VLOOKUP(A33,'Spend mapping'!$A$11:$C$100,3,0),"Not yet mapped. See 'Spend mapping' sheet")</f>
        <v>5.0153492134032014</v>
      </c>
      <c r="F33" s="584" t="str">
        <f t="shared" si="2"/>
        <v/>
      </c>
      <c r="G33" s="1196" t="str">
        <f t="shared" si="1"/>
        <v>Not yet mapped</v>
      </c>
      <c r="H33" s="501" t="str">
        <f>IFERROR(IF(B33="N",(((C33-'T3 calcs'!C26)*Procurement_T2!E33))+(('T3 calcs'!D26)),""),"")</f>
        <v/>
      </c>
      <c r="I33" s="165" t="str">
        <f t="shared" si="3"/>
        <v>Not yet mapped</v>
      </c>
      <c r="J33" s="181" t="s">
        <v>192</v>
      </c>
      <c r="K33" s="1064" t="str" cm="1">
        <f t="array" ref="K33">IFERROR(INDEX('Procurement lookup'!$A$1:$A$101,SMALL('Procurement lookup'!$I$1:$I$101,ROW(F21)),1),"")</f>
        <v/>
      </c>
      <c r="L33" s="1244" t="str">
        <f t="shared" si="6"/>
        <v/>
      </c>
      <c r="M33" s="1064" t="str" cm="1">
        <f t="array" ref="M33">IFERROR(INDEX('Procurement lookup'!$A$1:$A$101,SMALL('Procurement lookup'!$J$1:$J$101,ROW(J21)),1),"")</f>
        <v/>
      </c>
      <c r="N33" s="1071" t="str">
        <f t="shared" si="5"/>
        <v/>
      </c>
    </row>
    <row r="34" spans="1:14" x14ac:dyDescent="0.35">
      <c r="A34" s="947" t="str">
        <f>IFERROR(('Spend mapping'!A32),"")</f>
        <v>Household Equipment</v>
      </c>
      <c r="B34" s="1394"/>
      <c r="C34" s="1045"/>
      <c r="D34" s="1196">
        <f t="shared" si="0"/>
        <v>0</v>
      </c>
      <c r="E34" s="949">
        <f>IFERROR(VLOOKUP(A34,'Spend mapping'!$A$11:$C$100,3,0),"Not yet mapped. See 'Spend mapping' sheet")</f>
        <v>0.63101171312008464</v>
      </c>
      <c r="F34" s="584" t="str">
        <f t="shared" si="2"/>
        <v/>
      </c>
      <c r="G34" s="1196" t="str">
        <f t="shared" si="1"/>
        <v>Not yet mapped</v>
      </c>
      <c r="H34" s="501" t="str">
        <f>IFERROR(IF(B34="N",(((C34-'T3 calcs'!C27)*Procurement_T2!E34))+(('T3 calcs'!D27)),""),"")</f>
        <v/>
      </c>
      <c r="I34" s="165" t="str">
        <f t="shared" si="3"/>
        <v>Not yet mapped</v>
      </c>
      <c r="J34" s="181" t="s">
        <v>192</v>
      </c>
      <c r="K34" s="1064" t="str" cm="1">
        <f t="array" ref="K34">IFERROR(INDEX('Procurement lookup'!$A$1:$A$101,SMALL('Procurement lookup'!$I$1:$I$101,ROW(F22)),1),"")</f>
        <v/>
      </c>
      <c r="L34" s="1244" t="str">
        <f t="shared" si="6"/>
        <v/>
      </c>
      <c r="M34" s="1064" t="str" cm="1">
        <f t="array" ref="M34">IFERROR(INDEX('Procurement lookup'!$A$1:$A$101,SMALL('Procurement lookup'!$J$1:$J$101,ROW(J22)),1),"")</f>
        <v/>
      </c>
      <c r="N34" s="1071" t="str">
        <f t="shared" si="5"/>
        <v/>
      </c>
    </row>
    <row r="35" spans="1:14" x14ac:dyDescent="0.35">
      <c r="A35" s="947" t="str">
        <f>IFERROR(('Spend mapping'!A33),"")</f>
        <v>Imaging Supplies</v>
      </c>
      <c r="B35" s="1394"/>
      <c r="C35" s="1045"/>
      <c r="D35" s="1196">
        <f t="shared" si="0"/>
        <v>0</v>
      </c>
      <c r="E35" s="949">
        <f>IFERROR(VLOOKUP(A35,'Spend mapping'!$A$11:$C$100,3,0),"Not yet mapped. See 'Spend mapping' sheet")</f>
        <v>0.52022755395149056</v>
      </c>
      <c r="F35" s="584" t="str">
        <f t="shared" si="2"/>
        <v/>
      </c>
      <c r="G35" s="1196" t="str">
        <f t="shared" si="1"/>
        <v>Not yet mapped</v>
      </c>
      <c r="H35" s="501" t="str">
        <f>IFERROR(IF(B35="N",(((C35-'T3 calcs'!C28)*Procurement_T2!E35))+(('T3 calcs'!D28)),""),"")</f>
        <v/>
      </c>
      <c r="I35" s="165" t="str">
        <f t="shared" si="3"/>
        <v>Not yet mapped</v>
      </c>
      <c r="J35" s="181" t="s">
        <v>192</v>
      </c>
      <c r="K35" s="1064" t="str" cm="1">
        <f t="array" ref="K35">IFERROR(INDEX('Procurement lookup'!$A$1:$A$101,SMALL('Procurement lookup'!$I$1:$I$101,ROW(F23)),1),"")</f>
        <v/>
      </c>
      <c r="L35" s="1244" t="str">
        <f t="shared" si="6"/>
        <v/>
      </c>
      <c r="M35" s="1064" t="str" cm="1">
        <f t="array" ref="M35">IFERROR(INDEX('Procurement lookup'!$A$1:$A$101,SMALL('Procurement lookup'!$J$1:$J$101,ROW(J23)),1),"")</f>
        <v/>
      </c>
      <c r="N35" s="1071" t="str">
        <f t="shared" si="5"/>
        <v/>
      </c>
    </row>
    <row r="36" spans="1:14" x14ac:dyDescent="0.35">
      <c r="A36" s="947" t="str">
        <f>IFERROR(('Spend mapping'!A34),"")</f>
        <v>IT Accessories</v>
      </c>
      <c r="B36" s="1394"/>
      <c r="C36" s="1045"/>
      <c r="D36" s="1196">
        <f t="shared" si="0"/>
        <v>0</v>
      </c>
      <c r="E36" s="949">
        <f>IFERROR(VLOOKUP(A36,'Spend mapping'!$A$11:$C$100,3,0),"Not yet mapped. See 'Spend mapping' sheet")</f>
        <v>0.54685807069270509</v>
      </c>
      <c r="F36" s="584" t="str">
        <f t="shared" si="2"/>
        <v/>
      </c>
      <c r="G36" s="1196" t="str">
        <f t="shared" si="1"/>
        <v>Not yet mapped</v>
      </c>
      <c r="H36" s="501" t="str">
        <f>IFERROR(IF(B36="N",(((C36-'T3 calcs'!C29)*Procurement_T2!E36))+(('T3 calcs'!D29)),""),"")</f>
        <v/>
      </c>
      <c r="I36" s="165" t="str">
        <f t="shared" si="3"/>
        <v>Not yet mapped</v>
      </c>
      <c r="J36" s="181" t="s">
        <v>192</v>
      </c>
      <c r="K36" s="1064" t="str" cm="1">
        <f t="array" ref="K36">IFERROR(INDEX('Procurement lookup'!$A$1:$A$101,SMALL('Procurement lookup'!$I$1:$I$101,ROW(F24)),1),"")</f>
        <v/>
      </c>
      <c r="L36" s="1244" t="str">
        <f t="shared" si="6"/>
        <v/>
      </c>
      <c r="M36" s="1064" t="str" cm="1">
        <f t="array" ref="M36">IFERROR(INDEX('Procurement lookup'!$A$1:$A$101,SMALL('Procurement lookup'!$J$1:$J$101,ROW(J24)),1),"")</f>
        <v/>
      </c>
      <c r="N36" s="1071" t="str">
        <f t="shared" si="5"/>
        <v/>
      </c>
    </row>
    <row r="37" spans="1:14" x14ac:dyDescent="0.35">
      <c r="A37" s="947" t="str">
        <f>IFERROR(('Spend mapping'!A35),"")</f>
        <v>IT Equipment</v>
      </c>
      <c r="B37" s="1394"/>
      <c r="C37" s="1045"/>
      <c r="D37" s="1196">
        <f t="shared" si="0"/>
        <v>0</v>
      </c>
      <c r="E37" s="949">
        <f>IFERROR(VLOOKUP(A37,'Spend mapping'!$A$11:$C$100,3,0),"Not yet mapped. See 'Spend mapping' sheet")</f>
        <v>0.54685807069270498</v>
      </c>
      <c r="F37" s="584" t="str">
        <f t="shared" si="2"/>
        <v/>
      </c>
      <c r="G37" s="1196" t="str">
        <f t="shared" si="1"/>
        <v>Not yet mapped</v>
      </c>
      <c r="H37" s="501" t="str">
        <f>IFERROR(IF(B37="N",(((C37-'T3 calcs'!C30)*Procurement_T2!E37))+(('T3 calcs'!D30)),""),"")</f>
        <v/>
      </c>
      <c r="I37" s="165" t="str">
        <f t="shared" si="3"/>
        <v>Not yet mapped</v>
      </c>
      <c r="J37" s="181" t="s">
        <v>192</v>
      </c>
      <c r="K37" s="1064" t="str" cm="1">
        <f t="array" ref="K37">IFERROR(INDEX('Procurement lookup'!$A$1:$A$101,SMALL('Procurement lookup'!$I$1:$I$101,ROW(F25)),1),"")</f>
        <v/>
      </c>
      <c r="L37" s="1244" t="str">
        <f t="shared" si="6"/>
        <v/>
      </c>
      <c r="M37" s="1064" t="str" cm="1">
        <f t="array" ref="M37">IFERROR(INDEX('Procurement lookup'!$A$1:$A$101,SMALL('Procurement lookup'!$J$1:$J$101,ROW(J25)),1),"")</f>
        <v/>
      </c>
      <c r="N37" s="1071" t="str">
        <f t="shared" si="5"/>
        <v/>
      </c>
    </row>
    <row r="38" spans="1:14" x14ac:dyDescent="0.35">
      <c r="A38" s="947" t="str">
        <f>IFERROR(('Spend mapping'!A36),"")</f>
        <v>IT Supplies</v>
      </c>
      <c r="B38" s="1394"/>
      <c r="C38" s="1045"/>
      <c r="D38" s="1196">
        <f t="shared" si="0"/>
        <v>0</v>
      </c>
      <c r="E38" s="949">
        <f>IFERROR(VLOOKUP(A38,'Spend mapping'!$A$11:$C$100,3,0),"Not yet mapped. See 'Spend mapping' sheet")</f>
        <v>0.54685807069270509</v>
      </c>
      <c r="F38" s="584" t="str">
        <f t="shared" si="2"/>
        <v/>
      </c>
      <c r="G38" s="1196" t="str">
        <f t="shared" si="1"/>
        <v>Not yet mapped</v>
      </c>
      <c r="H38" s="501" t="str">
        <f>IFERROR(IF(B38="N",(((C38-'T3 calcs'!C31)*Procurement_T2!E38))+(('T3 calcs'!D31)),""),"")</f>
        <v/>
      </c>
      <c r="I38" s="165" t="str">
        <f t="shared" si="3"/>
        <v>Not yet mapped</v>
      </c>
      <c r="J38" s="181" t="s">
        <v>192</v>
      </c>
      <c r="K38" s="1064" t="str" cm="1">
        <f t="array" ref="K38">IFERROR(INDEX('Procurement lookup'!$A$1:$A$101,SMALL('Procurement lookup'!$I$1:$I$101,ROW(F26)),1),"")</f>
        <v/>
      </c>
      <c r="L38" s="1244" t="str">
        <f t="shared" si="6"/>
        <v/>
      </c>
      <c r="M38" s="1064" t="str" cm="1">
        <f t="array" ref="M38">IFERROR(INDEX('Procurement lookup'!$A$1:$A$101,SMALL('Procurement lookup'!$J$1:$J$101,ROW(J26)),1),"")</f>
        <v/>
      </c>
      <c r="N38" s="1071" t="str">
        <f t="shared" si="5"/>
        <v/>
      </c>
    </row>
    <row r="39" spans="1:14" x14ac:dyDescent="0.35">
      <c r="A39" s="947" t="str">
        <f>IFERROR(('Spend mapping'!A37),"")</f>
        <v>Journals</v>
      </c>
      <c r="B39" s="1394"/>
      <c r="C39" s="1045"/>
      <c r="D39" s="1196">
        <f t="shared" si="0"/>
        <v>0</v>
      </c>
      <c r="E39" s="949">
        <f>IFERROR(VLOOKUP(A39,'Spend mapping'!$A$11:$C$100,3,0),"Not yet mapped. See 'Spend mapping' sheet")</f>
        <v>0.13416367172806123</v>
      </c>
      <c r="F39" s="584" t="str">
        <f t="shared" si="2"/>
        <v/>
      </c>
      <c r="G39" s="1196" t="str">
        <f t="shared" si="1"/>
        <v>Not yet mapped</v>
      </c>
      <c r="H39" s="501" t="str">
        <f>IFERROR(IF(B39="N",(((C39-'T3 calcs'!C32)*Procurement_T2!E39))+(('T3 calcs'!D32)),""),"")</f>
        <v/>
      </c>
      <c r="I39" s="165" t="str">
        <f t="shared" si="3"/>
        <v>Not yet mapped</v>
      </c>
      <c r="J39" s="181" t="s">
        <v>192</v>
      </c>
      <c r="K39" s="1064" t="str" cm="1">
        <f t="array" ref="K39">IFERROR(INDEX('Procurement lookup'!$A$1:$A$101,SMALL('Procurement lookup'!$I$1:$I$101,ROW(F27)),1),"")</f>
        <v/>
      </c>
      <c r="L39" s="1244" t="str">
        <f t="shared" si="6"/>
        <v/>
      </c>
      <c r="M39" s="1064" t="str" cm="1">
        <f t="array" ref="M39">IFERROR(INDEX('Procurement lookup'!$A$1:$A$101,SMALL('Procurement lookup'!$J$1:$J$101,ROW(J27)),1),"")</f>
        <v/>
      </c>
      <c r="N39" s="1071" t="str">
        <f t="shared" si="5"/>
        <v/>
      </c>
    </row>
    <row r="40" spans="1:14" x14ac:dyDescent="0.35">
      <c r="A40" s="947" t="str">
        <f>IFERROR(('Spend mapping'!A38),"")</f>
        <v>Kitchen &amp; Laundry Equipment</v>
      </c>
      <c r="B40" s="1394"/>
      <c r="C40" s="1045"/>
      <c r="D40" s="1196">
        <f t="shared" si="0"/>
        <v>0</v>
      </c>
      <c r="E40" s="949">
        <f>IFERROR(VLOOKUP(A40,'Spend mapping'!$A$11:$C$100,3,0),"Not yet mapped. See 'Spend mapping' sheet")</f>
        <v>0.10863562660304291</v>
      </c>
      <c r="F40" s="584" t="str">
        <f t="shared" si="2"/>
        <v/>
      </c>
      <c r="G40" s="1196" t="str">
        <f t="shared" si="1"/>
        <v>Not yet mapped</v>
      </c>
      <c r="H40" s="501" t="str">
        <f>IFERROR(IF(B40="N",(((C40-'T3 calcs'!C33)*Procurement_T2!E40))+(('T3 calcs'!D33)),""),"")</f>
        <v/>
      </c>
      <c r="I40" s="165" t="str">
        <f t="shared" si="3"/>
        <v>Not yet mapped</v>
      </c>
      <c r="J40" s="181" t="s">
        <v>192</v>
      </c>
      <c r="K40" s="1064" t="str" cm="1">
        <f t="array" ref="K40">IFERROR(INDEX('Procurement lookup'!$A$1:$A$101,SMALL('Procurement lookup'!$I$1:$I$101,ROW(F28)),1),"")</f>
        <v/>
      </c>
      <c r="L40" s="1244" t="str">
        <f t="shared" si="6"/>
        <v/>
      </c>
      <c r="M40" s="1064" t="str" cm="1">
        <f t="array" ref="M40">IFERROR(INDEX('Procurement lookup'!$A$1:$A$101,SMALL('Procurement lookup'!$J$1:$J$101,ROW(J28)),1),"")</f>
        <v/>
      </c>
      <c r="N40" s="1071" t="str">
        <f t="shared" si="5"/>
        <v/>
      </c>
    </row>
    <row r="41" spans="1:14" x14ac:dyDescent="0.35">
      <c r="A41" s="947" t="str">
        <f>IFERROR(('Spend mapping'!A39),"")</f>
        <v>Laboratory Consumables, Chemicals &amp; Supplies</v>
      </c>
      <c r="B41" s="1394"/>
      <c r="C41" s="1045"/>
      <c r="D41" s="1196">
        <f t="shared" si="0"/>
        <v>0</v>
      </c>
      <c r="E41" s="949">
        <f>IFERROR(VLOOKUP(A41,'Spend mapping'!$A$11:$C$100,3,0),"Not yet mapped. See 'Spend mapping' sheet")</f>
        <v>1.4978540479526079</v>
      </c>
      <c r="F41" s="584" t="str">
        <f t="shared" si="2"/>
        <v/>
      </c>
      <c r="G41" s="1196" t="str">
        <f t="shared" si="1"/>
        <v>Not yet mapped</v>
      </c>
      <c r="H41" s="501" t="str">
        <f>IFERROR(IF(B41="N",(((C41-'T3 calcs'!C34)*Procurement_T2!E41))+(('T3 calcs'!D34)),""),"")</f>
        <v/>
      </c>
      <c r="I41" s="165" t="str">
        <f t="shared" si="3"/>
        <v>Not yet mapped</v>
      </c>
      <c r="J41" s="181" t="s">
        <v>192</v>
      </c>
      <c r="K41" s="1064" t="str" cm="1">
        <f t="array" ref="K41">IFERROR(INDEX('Procurement lookup'!$A$1:$A$101,SMALL('Procurement lookup'!$I$1:$I$101,ROW(F29)),1),"")</f>
        <v/>
      </c>
      <c r="L41" s="1244" t="str">
        <f t="shared" si="6"/>
        <v/>
      </c>
      <c r="M41" s="1064" t="str" cm="1">
        <f t="array" ref="M41">IFERROR(INDEX('Procurement lookup'!$A$1:$A$101,SMALL('Procurement lookup'!$J$1:$J$101,ROW(J29)),1),"")</f>
        <v/>
      </c>
      <c r="N41" s="1071" t="str">
        <f t="shared" si="5"/>
        <v/>
      </c>
    </row>
    <row r="42" spans="1:14" x14ac:dyDescent="0.35">
      <c r="A42" s="947" t="str">
        <f>IFERROR(('Spend mapping'!A40),"")</f>
        <v>Linen Supplies</v>
      </c>
      <c r="B42" s="1394"/>
      <c r="C42" s="1045"/>
      <c r="D42" s="1196">
        <f t="shared" si="0"/>
        <v>0</v>
      </c>
      <c r="E42" s="949">
        <f>IFERROR(VLOOKUP(A42,'Spend mapping'!$A$11:$C$100,3,0),"Not yet mapped. See 'Spend mapping' sheet")</f>
        <v>0.70473183114838067</v>
      </c>
      <c r="F42" s="584" t="str">
        <f t="shared" si="2"/>
        <v/>
      </c>
      <c r="G42" s="1196" t="str">
        <f t="shared" si="1"/>
        <v>Not yet mapped</v>
      </c>
      <c r="H42" s="501" t="str">
        <f>IFERROR(IF(B42="N",(((C42-'T3 calcs'!C35)*Procurement_T2!E42))+(('T3 calcs'!D35)),""),"")</f>
        <v/>
      </c>
      <c r="I42" s="165" t="str">
        <f t="shared" si="3"/>
        <v>Not yet mapped</v>
      </c>
      <c r="J42" s="181" t="s">
        <v>192</v>
      </c>
      <c r="K42" s="1064" t="str" cm="1">
        <f t="array" ref="K42">IFERROR(INDEX('Procurement lookup'!$A$1:$A$101,SMALL('Procurement lookup'!$I$1:$I$101,ROW(F30)),1),"")</f>
        <v/>
      </c>
      <c r="L42" s="1244" t="str">
        <f t="shared" si="6"/>
        <v/>
      </c>
      <c r="M42" s="1064" t="str" cm="1">
        <f t="array" ref="M42">IFERROR(INDEX('Procurement lookup'!$A$1:$A$101,SMALL('Procurement lookup'!$J$1:$J$101,ROW(J30)),1),"")</f>
        <v/>
      </c>
      <c r="N42" s="1071" t="str">
        <f t="shared" si="5"/>
        <v/>
      </c>
    </row>
    <row r="43" spans="1:14" x14ac:dyDescent="0.35">
      <c r="A43" s="947" t="str">
        <f>IFERROR(('Spend mapping'!A41),"")</f>
        <v>Medical Equipment</v>
      </c>
      <c r="B43" s="1394"/>
      <c r="C43" s="1045"/>
      <c r="D43" s="1196">
        <f t="shared" si="0"/>
        <v>0</v>
      </c>
      <c r="E43" s="949">
        <f>IFERROR(VLOOKUP(A43,'Spend mapping'!$A$11:$C$100,3,0),"Not yet mapped. See 'Spend mapping' sheet")</f>
        <v>1.497854047952607</v>
      </c>
      <c r="F43" s="584" t="str">
        <f t="shared" si="2"/>
        <v/>
      </c>
      <c r="G43" s="1196" t="str">
        <f t="shared" si="1"/>
        <v>Not yet mapped</v>
      </c>
      <c r="H43" s="501" t="str">
        <f>IFERROR(IF(B43="N",(((C43-'T3 calcs'!C36)*Procurement_T2!E43))+(('T3 calcs'!D36)),""),"")</f>
        <v/>
      </c>
      <c r="I43" s="165" t="str">
        <f t="shared" si="3"/>
        <v>Not yet mapped</v>
      </c>
      <c r="J43" s="181" t="s">
        <v>192</v>
      </c>
      <c r="K43" s="1064" t="str" cm="1">
        <f t="array" ref="K43">IFERROR(INDEX('Procurement lookup'!$A$1:$A$101,SMALL('Procurement lookup'!$I$1:$I$101,ROW(F31)),1),"")</f>
        <v/>
      </c>
      <c r="L43" s="1244" t="str">
        <f t="shared" si="6"/>
        <v/>
      </c>
      <c r="M43" s="1064" t="str" cm="1">
        <f t="array" ref="M43">IFERROR(INDEX('Procurement lookup'!$A$1:$A$101,SMALL('Procurement lookup'!$J$1:$J$101,ROW(J31)),1),"")</f>
        <v/>
      </c>
      <c r="N43" s="1071" t="str">
        <f t="shared" si="5"/>
        <v/>
      </c>
    </row>
    <row r="44" spans="1:14" x14ac:dyDescent="0.35">
      <c r="A44" s="947" t="str">
        <f>IFERROR(('Spend mapping'!A42),"")</f>
        <v>Medical Surgical and Laboratory Equipment</v>
      </c>
      <c r="B44" s="1394"/>
      <c r="C44" s="1045"/>
      <c r="D44" s="1196">
        <f t="shared" si="0"/>
        <v>0</v>
      </c>
      <c r="E44" s="949">
        <f>IFERROR(VLOOKUP(A44,'Spend mapping'!$A$11:$C$100,3,0),"Not yet mapped. See 'Spend mapping' sheet")</f>
        <v>1.497854047952607</v>
      </c>
      <c r="F44" s="584" t="str">
        <f t="shared" si="2"/>
        <v/>
      </c>
      <c r="G44" s="1196" t="str">
        <f t="shared" si="1"/>
        <v>Not yet mapped</v>
      </c>
      <c r="H44" s="501" t="str">
        <f>IFERROR(IF(B44="N",(((C44-'T3 calcs'!C37)*Procurement_T2!E44))+(('T3 calcs'!D37)),""),"")</f>
        <v/>
      </c>
      <c r="I44" s="165" t="str">
        <f t="shared" si="3"/>
        <v>Not yet mapped</v>
      </c>
      <c r="J44" s="181" t="s">
        <v>192</v>
      </c>
      <c r="K44" s="1064" t="str" cm="1">
        <f t="array" ref="K44">IFERROR(INDEX('Procurement lookup'!$A$1:$A$101,SMALL('Procurement lookup'!$I$1:$I$101,ROW(F32)),1),"")</f>
        <v/>
      </c>
      <c r="L44" s="1244" t="str">
        <f t="shared" si="6"/>
        <v/>
      </c>
      <c r="M44" s="1064" t="str" cm="1">
        <f t="array" ref="M44">IFERROR(INDEX('Procurement lookup'!$A$1:$A$101,SMALL('Procurement lookup'!$J$1:$J$101,ROW(J32)),1),"")</f>
        <v/>
      </c>
      <c r="N44" s="1071" t="str">
        <f t="shared" si="5"/>
        <v/>
      </c>
    </row>
    <row r="45" spans="1:14" x14ac:dyDescent="0.35">
      <c r="A45" s="947" t="str">
        <f>IFERROR(('Spend mapping'!A43),"")</f>
        <v>Medical Surgical Supplies</v>
      </c>
      <c r="B45" s="1394"/>
      <c r="C45" s="1045"/>
      <c r="D45" s="1196">
        <f t="shared" ref="D45:D76" si="7">IFERROR(C45/SUM($C$13:$C$113),"")</f>
        <v>0</v>
      </c>
      <c r="E45" s="949">
        <f>IFERROR(VLOOKUP(A45,'Spend mapping'!$A$11:$C$100,3,0),"Not yet mapped. See 'Spend mapping' sheet")</f>
        <v>1.4978540479526079</v>
      </c>
      <c r="F45" s="584" t="str">
        <f t="shared" si="2"/>
        <v/>
      </c>
      <c r="G45" s="1196" t="str">
        <f t="shared" ref="G45:G76" si="8">IFERROR(F45/SUM($F$13:$F$113),"Not yet mapped")</f>
        <v>Not yet mapped</v>
      </c>
      <c r="H45" s="501" t="str">
        <f>IFERROR(IF(B45="N",(((C45-'T3 calcs'!C38)*Procurement_T2!E45))+(('T3 calcs'!D38)),""),"")</f>
        <v/>
      </c>
      <c r="I45" s="165" t="str">
        <f t="shared" si="3"/>
        <v>Not yet mapped</v>
      </c>
      <c r="J45" s="181" t="s">
        <v>192</v>
      </c>
      <c r="K45" s="1064" t="str" cm="1">
        <f t="array" ref="K45">IFERROR(INDEX('Procurement lookup'!$A$1:$A$101,SMALL('Procurement lookup'!$I$1:$I$101,ROW(F33)),1),"")</f>
        <v/>
      </c>
      <c r="L45" s="1244" t="str">
        <f t="shared" si="6"/>
        <v/>
      </c>
      <c r="M45" s="1064" t="str" cm="1">
        <f t="array" ref="M45">IFERROR(INDEX('Procurement lookup'!$A$1:$A$101,SMALL('Procurement lookup'!$J$1:$J$101,ROW(J33)),1),"")</f>
        <v/>
      </c>
      <c r="N45" s="1071" t="str">
        <f t="shared" si="5"/>
        <v/>
      </c>
    </row>
    <row r="46" spans="1:14" x14ac:dyDescent="0.35">
      <c r="A46" s="947" t="str">
        <f>IFERROR(('Spend mapping'!A44),"")</f>
        <v>Minor Equipment</v>
      </c>
      <c r="B46" s="1394"/>
      <c r="C46" s="1045"/>
      <c r="D46" s="1196">
        <f t="shared" si="7"/>
        <v>0</v>
      </c>
      <c r="E46" s="949">
        <f>IFERROR(VLOOKUP(A46,'Spend mapping'!$A$11:$C$100,3,0),"Not yet mapped. See 'Spend mapping' sheet")</f>
        <v>8.3333146631285007E-2</v>
      </c>
      <c r="F46" s="584" t="str">
        <f t="shared" si="2"/>
        <v/>
      </c>
      <c r="G46" s="1196" t="str">
        <f t="shared" si="8"/>
        <v>Not yet mapped</v>
      </c>
      <c r="H46" s="501" t="str">
        <f>IFERROR(IF(B46="N",(((C46-'T3 calcs'!C39)*Procurement_T2!E46))+(('T3 calcs'!D39)),""),"")</f>
        <v/>
      </c>
      <c r="I46" s="165" t="str">
        <f t="shared" si="3"/>
        <v>Not yet mapped</v>
      </c>
      <c r="J46" s="181" t="s">
        <v>192</v>
      </c>
      <c r="K46" s="1064" t="str" cm="1">
        <f t="array" ref="K46">IFERROR(INDEX('Procurement lookup'!$A$1:$A$101,SMALL('Procurement lookup'!$I$1:$I$101,ROW(F34)),1),"")</f>
        <v/>
      </c>
      <c r="L46" s="1244" t="str">
        <f t="shared" si="6"/>
        <v/>
      </c>
      <c r="M46" s="1064" t="str" cm="1">
        <f t="array" ref="M46">IFERROR(INDEX('Procurement lookup'!$A$1:$A$101,SMALL('Procurement lookup'!$J$1:$J$101,ROW(J34)),1),"")</f>
        <v/>
      </c>
      <c r="N46" s="1071" t="str">
        <f t="shared" si="5"/>
        <v/>
      </c>
    </row>
    <row r="47" spans="1:14" x14ac:dyDescent="0.35">
      <c r="A47" s="947" t="str">
        <f>IFERROR(('Spend mapping'!A45),"")</f>
        <v>MRO Supplies</v>
      </c>
      <c r="B47" s="1394"/>
      <c r="C47" s="1045"/>
      <c r="D47" s="1196">
        <f t="shared" si="7"/>
        <v>0</v>
      </c>
      <c r="E47" s="949">
        <f>IFERROR(VLOOKUP(A47,'Spend mapping'!$A$11:$C$100,3,0),"Not yet mapped. See 'Spend mapping' sheet")</f>
        <v>0.25719083755428507</v>
      </c>
      <c r="F47" s="584" t="str">
        <f t="shared" si="2"/>
        <v/>
      </c>
      <c r="G47" s="1196" t="str">
        <f t="shared" si="8"/>
        <v>Not yet mapped</v>
      </c>
      <c r="H47" s="501" t="str">
        <f>IFERROR(IF(B47="N",(((C47-'T3 calcs'!C40)*Procurement_T2!E47))+(('T3 calcs'!D40)),""),"")</f>
        <v/>
      </c>
      <c r="I47" s="165" t="str">
        <f t="shared" si="3"/>
        <v>Not yet mapped</v>
      </c>
      <c r="J47" s="181" t="s">
        <v>192</v>
      </c>
      <c r="K47" s="1064" t="str" cm="1">
        <f t="array" ref="K47">IFERROR(INDEX('Procurement lookup'!$A$1:$A$101,SMALL('Procurement lookup'!$I$1:$I$101,ROW(F35)),1),"")</f>
        <v/>
      </c>
      <c r="L47" s="1244" t="str">
        <f t="shared" si="6"/>
        <v/>
      </c>
      <c r="M47" s="1064" t="str" cm="1">
        <f t="array" ref="M47">IFERROR(INDEX('Procurement lookup'!$A$1:$A$101,SMALL('Procurement lookup'!$J$1:$J$101,ROW(J35)),1),"")</f>
        <v/>
      </c>
      <c r="N47" s="1071" t="str">
        <f t="shared" si="5"/>
        <v/>
      </c>
    </row>
    <row r="48" spans="1:14" x14ac:dyDescent="0.35">
      <c r="A48" s="947" t="str">
        <f>IFERROR(('Spend mapping'!A46),"")</f>
        <v>Office Equipment</v>
      </c>
      <c r="B48" s="1394"/>
      <c r="C48" s="1045"/>
      <c r="D48" s="1196">
        <f t="shared" si="7"/>
        <v>0</v>
      </c>
      <c r="E48" s="949">
        <f>IFERROR(VLOOKUP(A48,'Spend mapping'!$A$11:$C$100,3,0),"Not yet mapped. See 'Spend mapping' sheet")</f>
        <v>8.3333146631285007E-2</v>
      </c>
      <c r="F48" s="584" t="str">
        <f t="shared" si="2"/>
        <v/>
      </c>
      <c r="G48" s="1196" t="str">
        <f t="shared" si="8"/>
        <v>Not yet mapped</v>
      </c>
      <c r="H48" s="501" t="str">
        <f>IFERROR(IF(B48="N",(((C48-'T3 calcs'!C41)*Procurement_T2!E48))+(('T3 calcs'!D41)),""),"")</f>
        <v/>
      </c>
      <c r="I48" s="165" t="str">
        <f t="shared" si="3"/>
        <v>Not yet mapped</v>
      </c>
      <c r="J48" s="181" t="s">
        <v>192</v>
      </c>
      <c r="K48" s="1064" t="str" cm="1">
        <f t="array" ref="K48">IFERROR(INDEX('Procurement lookup'!$A$1:$A$101,SMALL('Procurement lookup'!$I$1:$I$101,ROW(F36)),1),"")</f>
        <v/>
      </c>
      <c r="L48" s="1244" t="str">
        <f t="shared" si="6"/>
        <v/>
      </c>
      <c r="M48" s="1064" t="str" cm="1">
        <f t="array" ref="M48">IFERROR(INDEX('Procurement lookup'!$A$1:$A$101,SMALL('Procurement lookup'!$J$1:$J$101,ROW(J36)),1),"")</f>
        <v/>
      </c>
      <c r="N48" s="1071" t="str">
        <f t="shared" si="5"/>
        <v/>
      </c>
    </row>
    <row r="49" spans="1:14" x14ac:dyDescent="0.35">
      <c r="A49" s="947" t="str">
        <f>IFERROR(('Spend mapping'!A47),"")</f>
        <v>Office Refreshments TJS</v>
      </c>
      <c r="B49" s="1394"/>
      <c r="C49" s="1045"/>
      <c r="D49" s="1196">
        <f t="shared" si="7"/>
        <v>0</v>
      </c>
      <c r="E49" s="949">
        <f>IFERROR(VLOOKUP(A49,'Spend mapping'!$A$11:$C$100,3,0),"Not yet mapped. See 'Spend mapping' sheet")</f>
        <v>0.30018497167065</v>
      </c>
      <c r="F49" s="584" t="str">
        <f t="shared" si="2"/>
        <v/>
      </c>
      <c r="G49" s="1196" t="str">
        <f t="shared" si="8"/>
        <v>Not yet mapped</v>
      </c>
      <c r="H49" s="501" t="str">
        <f>IFERROR(IF(B49="N",(((C49-'T3 calcs'!C42)*Procurement_T2!E49))+(('T3 calcs'!D42)),""),"")</f>
        <v/>
      </c>
      <c r="I49" s="165" t="str">
        <f t="shared" si="3"/>
        <v>Not yet mapped</v>
      </c>
      <c r="J49" s="181" t="s">
        <v>192</v>
      </c>
      <c r="K49" s="1064" t="str" cm="1">
        <f t="array" ref="K49">IFERROR(INDEX('Procurement lookup'!$A$1:$A$101,SMALL('Procurement lookup'!$I$1:$I$101,ROW(F37)),1),"")</f>
        <v/>
      </c>
      <c r="L49" s="1244" t="str">
        <f t="shared" si="6"/>
        <v/>
      </c>
      <c r="M49" s="1064" t="str" cm="1">
        <f t="array" ref="M49">IFERROR(INDEX('Procurement lookup'!$A$1:$A$101,SMALL('Procurement lookup'!$J$1:$J$101,ROW(J37)),1),"")</f>
        <v/>
      </c>
      <c r="N49" s="1071" t="str">
        <f t="shared" si="5"/>
        <v/>
      </c>
    </row>
    <row r="50" spans="1:14" x14ac:dyDescent="0.35">
      <c r="A50" s="947" t="str">
        <f>IFERROR(('Spend mapping'!A48),"")</f>
        <v>Office Stationery Supplies</v>
      </c>
      <c r="B50" s="1394"/>
      <c r="C50" s="1045"/>
      <c r="D50" s="1196">
        <f t="shared" si="7"/>
        <v>0</v>
      </c>
      <c r="E50" s="949">
        <f>IFERROR(VLOOKUP(A50,'Spend mapping'!$A$11:$C$100,3,0),"Not yet mapped. See 'Spend mapping' sheet")</f>
        <v>0.13416367172806123</v>
      </c>
      <c r="F50" s="584" t="str">
        <f t="shared" si="2"/>
        <v/>
      </c>
      <c r="G50" s="1196" t="str">
        <f t="shared" si="8"/>
        <v>Not yet mapped</v>
      </c>
      <c r="H50" s="501" t="str">
        <f>IFERROR(IF(B50="N",(((C50-'T3 calcs'!C43)*Procurement_T2!E50))+(('T3 calcs'!D43)),""),"")</f>
        <v/>
      </c>
      <c r="I50" s="165" t="str">
        <f t="shared" si="3"/>
        <v>Not yet mapped</v>
      </c>
      <c r="J50" s="181" t="s">
        <v>192</v>
      </c>
      <c r="K50" s="1064" t="str" cm="1">
        <f t="array" ref="K50">IFERROR(INDEX('Procurement lookup'!$A$1:$A$101,SMALL('Procurement lookup'!$I$1:$I$101,ROW(F38)),1),"")</f>
        <v/>
      </c>
      <c r="L50" s="1244" t="str">
        <f t="shared" si="6"/>
        <v/>
      </c>
      <c r="M50" s="1064" t="str" cm="1">
        <f t="array" ref="M50">IFERROR(INDEX('Procurement lookup'!$A$1:$A$101,SMALL('Procurement lookup'!$J$1:$J$101,ROW(J38)),1),"")</f>
        <v/>
      </c>
      <c r="N50" s="1071" t="str">
        <f t="shared" si="5"/>
        <v/>
      </c>
    </row>
    <row r="51" spans="1:14" x14ac:dyDescent="0.35">
      <c r="A51" s="947" t="str">
        <f>IFERROR(('Spend mapping'!A49),"")</f>
        <v>Patient attire/bedding</v>
      </c>
      <c r="B51" s="1394"/>
      <c r="C51" s="1045"/>
      <c r="D51" s="1196">
        <f t="shared" si="7"/>
        <v>0</v>
      </c>
      <c r="E51" s="949">
        <f>IFERROR(VLOOKUP(A51,'Spend mapping'!$A$11:$C$100,3,0),"Not yet mapped. See 'Spend mapping' sheet")</f>
        <v>0.30112697273812533</v>
      </c>
      <c r="F51" s="584" t="str">
        <f t="shared" si="2"/>
        <v/>
      </c>
      <c r="G51" s="1196" t="str">
        <f t="shared" si="8"/>
        <v>Not yet mapped</v>
      </c>
      <c r="H51" s="501" t="str">
        <f>IFERROR(IF(B51="N",(((C51-'T3 calcs'!C44)*Procurement_T2!E51))+(('T3 calcs'!D44)),""),"")</f>
        <v/>
      </c>
      <c r="I51" s="165" t="str">
        <f t="shared" si="3"/>
        <v>Not yet mapped</v>
      </c>
      <c r="J51" s="181" t="s">
        <v>192</v>
      </c>
      <c r="K51" s="1064" t="str" cm="1">
        <f t="array" ref="K51">IFERROR(INDEX('Procurement lookup'!$A$1:$A$101,SMALL('Procurement lookup'!$I$1:$I$101,ROW(F39)),1),"")</f>
        <v/>
      </c>
      <c r="L51" s="1244" t="str">
        <f t="shared" si="6"/>
        <v/>
      </c>
      <c r="M51" s="1064" t="str" cm="1">
        <f t="array" ref="M51">IFERROR(INDEX('Procurement lookup'!$A$1:$A$101,SMALL('Procurement lookup'!$J$1:$J$101,ROW(J39)),1),"")</f>
        <v/>
      </c>
      <c r="N51" s="1071" t="str">
        <f t="shared" si="5"/>
        <v/>
      </c>
    </row>
    <row r="52" spans="1:14" x14ac:dyDescent="0.35">
      <c r="A52" s="947" t="str">
        <f>IFERROR(('Spend mapping'!A50),"")</f>
        <v>Pharmaceuticals</v>
      </c>
      <c r="B52" s="1394"/>
      <c r="C52" s="1045"/>
      <c r="D52" s="1196">
        <f t="shared" si="7"/>
        <v>0</v>
      </c>
      <c r="E52" s="949">
        <f>IFERROR(VLOOKUP(A52,'Spend mapping'!$A$11:$C$100,3,0),"Not yet mapped. See 'Spend mapping' sheet")</f>
        <v>1.4978540479526063</v>
      </c>
      <c r="F52" s="584" t="str">
        <f t="shared" si="2"/>
        <v/>
      </c>
      <c r="G52" s="1196" t="str">
        <f t="shared" si="8"/>
        <v>Not yet mapped</v>
      </c>
      <c r="H52" s="501" t="str">
        <f>IFERROR(IF(B52="N",(((C52-'T3 calcs'!C45)*Procurement_T2!E52))+(('T3 calcs'!D45)),""),"")</f>
        <v/>
      </c>
      <c r="I52" s="165" t="str">
        <f t="shared" si="3"/>
        <v>Not yet mapped</v>
      </c>
      <c r="J52" s="181" t="s">
        <v>192</v>
      </c>
      <c r="K52" s="1064" t="str" cm="1">
        <f t="array" ref="K52">IFERROR(INDEX('Procurement lookup'!$A$1:$A$101,SMALL('Procurement lookup'!$I$1:$I$101,ROW(F40)),1),"")</f>
        <v/>
      </c>
      <c r="L52" s="1244" t="str">
        <f t="shared" si="6"/>
        <v/>
      </c>
      <c r="M52" s="1064" t="str" cm="1">
        <f t="array" ref="M52">IFERROR(INDEX('Procurement lookup'!$A$1:$A$101,SMALL('Procurement lookup'!$J$1:$J$101,ROW(J40)),1),"")</f>
        <v/>
      </c>
      <c r="N52" s="1071" t="str">
        <f t="shared" si="5"/>
        <v/>
      </c>
    </row>
    <row r="53" spans="1:14" x14ac:dyDescent="0.35">
      <c r="A53" s="947" t="str">
        <f>IFERROR(('Spend mapping'!A51),"")</f>
        <v>Photography</v>
      </c>
      <c r="B53" s="1394"/>
      <c r="C53" s="1045"/>
      <c r="D53" s="1196">
        <f t="shared" si="7"/>
        <v>0</v>
      </c>
      <c r="E53" s="949">
        <f>IFERROR(VLOOKUP(A53,'Spend mapping'!$A$11:$C$100,3,0),"Not yet mapped. See 'Spend mapping' sheet")</f>
        <v>0.68274044655825261</v>
      </c>
      <c r="F53" s="584" t="str">
        <f t="shared" si="2"/>
        <v/>
      </c>
      <c r="G53" s="1196" t="str">
        <f t="shared" si="8"/>
        <v>Not yet mapped</v>
      </c>
      <c r="H53" s="501" t="str">
        <f>IFERROR(IF(B53="N",(((C53-'T3 calcs'!C46)*Procurement_T2!E53))+(('T3 calcs'!D46)),""),"")</f>
        <v/>
      </c>
      <c r="I53" s="165" t="str">
        <f t="shared" si="3"/>
        <v>Not yet mapped</v>
      </c>
      <c r="J53" s="181" t="s">
        <v>192</v>
      </c>
      <c r="K53" s="1064" t="str" cm="1">
        <f t="array" ref="K53">IFERROR(INDEX('Procurement lookup'!$A$1:$A$101,SMALL('Procurement lookup'!$I$1:$I$101,ROW(F41)),1),"")</f>
        <v/>
      </c>
      <c r="L53" s="1244" t="str">
        <f t="shared" si="6"/>
        <v/>
      </c>
      <c r="M53" s="1064" t="str" cm="1">
        <f t="array" ref="M53">IFERROR(INDEX('Procurement lookup'!$A$1:$A$101,SMALL('Procurement lookup'!$J$1:$J$101,ROW(J41)),1),"")</f>
        <v/>
      </c>
      <c r="N53" s="1071" t="str">
        <f t="shared" si="5"/>
        <v/>
      </c>
    </row>
    <row r="54" spans="1:14" x14ac:dyDescent="0.35">
      <c r="A54" s="947" t="str">
        <f>IFERROR(('Spend mapping'!A52),"")</f>
        <v>Plant, HVAC, MEP Equip &amp; Auxil</v>
      </c>
      <c r="B54" s="1394"/>
      <c r="C54" s="1045"/>
      <c r="D54" s="1196">
        <f t="shared" si="7"/>
        <v>0</v>
      </c>
      <c r="E54" s="949">
        <f>IFERROR(VLOOKUP(A54,'Spend mapping'!$A$11:$C$100,3,0),"Not yet mapped. See 'Spend mapping' sheet")</f>
        <v>0.10863562660304291</v>
      </c>
      <c r="F54" s="584" t="str">
        <f t="shared" si="2"/>
        <v/>
      </c>
      <c r="G54" s="1196" t="str">
        <f t="shared" si="8"/>
        <v>Not yet mapped</v>
      </c>
      <c r="H54" s="501" t="str">
        <f>IFERROR(IF(B54="N",(((C54-'T3 calcs'!C47)*Procurement_T2!E54))+(('T3 calcs'!D47)),""),"")</f>
        <v/>
      </c>
      <c r="I54" s="165" t="str">
        <f t="shared" si="3"/>
        <v>Not yet mapped</v>
      </c>
      <c r="J54" s="181" t="s">
        <v>192</v>
      </c>
      <c r="K54" s="1064" t="str" cm="1">
        <f t="array" ref="K54">IFERROR(INDEX('Procurement lookup'!$A$1:$A$101,SMALL('Procurement lookup'!$I$1:$I$101,ROW(F42)),1),"")</f>
        <v/>
      </c>
      <c r="L54" s="1244" t="str">
        <f t="shared" si="6"/>
        <v/>
      </c>
      <c r="M54" s="1064" t="str" cm="1">
        <f t="array" ref="M54">IFERROR(INDEX('Procurement lookup'!$A$1:$A$101,SMALL('Procurement lookup'!$J$1:$J$101,ROW(J42)),1),"")</f>
        <v/>
      </c>
      <c r="N54" s="1071" t="str">
        <f t="shared" si="5"/>
        <v/>
      </c>
    </row>
    <row r="55" spans="1:14" x14ac:dyDescent="0.35">
      <c r="A55" s="947" t="str">
        <f>IFERROR(('Spend mapping'!A53),"")</f>
        <v>Published and Printed Material</v>
      </c>
      <c r="B55" s="1394"/>
      <c r="C55" s="1045"/>
      <c r="D55" s="1196">
        <f t="shared" si="7"/>
        <v>0</v>
      </c>
      <c r="E55" s="949">
        <f>IFERROR(VLOOKUP(A55,'Spend mapping'!$A$11:$C$100,3,0),"Not yet mapped. See 'Spend mapping' sheet")</f>
        <v>0.13416367172806123</v>
      </c>
      <c r="F55" s="584" t="str">
        <f t="shared" si="2"/>
        <v/>
      </c>
      <c r="G55" s="1196" t="str">
        <f t="shared" si="8"/>
        <v>Not yet mapped</v>
      </c>
      <c r="H55" s="501" t="str">
        <f>IFERROR(IF(B55="N",(((C55-'T3 calcs'!C48)*Procurement_T2!E55))+(('T3 calcs'!D48)),""),"")</f>
        <v/>
      </c>
      <c r="I55" s="165" t="str">
        <f t="shared" si="3"/>
        <v>Not yet mapped</v>
      </c>
      <c r="J55" s="181" t="s">
        <v>192</v>
      </c>
      <c r="K55" s="1064" t="str" cm="1">
        <f t="array" ref="K55">IFERROR(INDEX('Procurement lookup'!$A$1:$A$101,SMALL('Procurement lookup'!$I$1:$I$101,ROW(F43)),1),"")</f>
        <v/>
      </c>
      <c r="L55" s="1244" t="str">
        <f t="shared" si="6"/>
        <v/>
      </c>
      <c r="M55" s="1064" t="str" cm="1">
        <f t="array" ref="M55">IFERROR(INDEX('Procurement lookup'!$A$1:$A$101,SMALL('Procurement lookup'!$J$1:$J$101,ROW(J43)),1),"")</f>
        <v/>
      </c>
      <c r="N55" s="1071" t="str">
        <f t="shared" si="5"/>
        <v/>
      </c>
    </row>
    <row r="56" spans="1:14" x14ac:dyDescent="0.35">
      <c r="A56" s="947" t="str">
        <f>IFERROR(('Spend mapping'!A54),"")</f>
        <v>Repair and Maintenance-Equipment</v>
      </c>
      <c r="B56" s="1394"/>
      <c r="C56" s="1045"/>
      <c r="D56" s="1196">
        <f t="shared" si="7"/>
        <v>0</v>
      </c>
      <c r="E56" s="949">
        <f>IFERROR(VLOOKUP(A56,'Spend mapping'!$A$11:$C$100,3,0),"Not yet mapped. See 'Spend mapping' sheet")</f>
        <v>0.48818474385433613</v>
      </c>
      <c r="F56" s="584" t="str">
        <f t="shared" si="2"/>
        <v/>
      </c>
      <c r="G56" s="1196" t="str">
        <f t="shared" si="8"/>
        <v>Not yet mapped</v>
      </c>
      <c r="H56" s="501" t="str">
        <f>IFERROR(IF(B56="N",(((C56-'T3 calcs'!C49)*Procurement_T2!E56))+(('T3 calcs'!D49)),""),"")</f>
        <v/>
      </c>
      <c r="I56" s="165" t="str">
        <f t="shared" si="3"/>
        <v>Not yet mapped</v>
      </c>
      <c r="J56" s="181" t="s">
        <v>192</v>
      </c>
      <c r="K56" s="1064" t="str" cm="1">
        <f t="array" ref="K56">IFERROR(INDEX('Procurement lookup'!$A$1:$A$101,SMALL('Procurement lookup'!$I$1:$I$101,ROW(F44)),1),"")</f>
        <v/>
      </c>
      <c r="L56" s="1244" t="str">
        <f t="shared" si="6"/>
        <v/>
      </c>
      <c r="M56" s="1064" t="str" cm="1">
        <f t="array" ref="M56">IFERROR(INDEX('Procurement lookup'!$A$1:$A$101,SMALL('Procurement lookup'!$J$1:$J$101,ROW(J44)),1),"")</f>
        <v/>
      </c>
      <c r="N56" s="1071" t="str">
        <f t="shared" si="5"/>
        <v/>
      </c>
    </row>
    <row r="57" spans="1:14" x14ac:dyDescent="0.35">
      <c r="A57" s="947" t="str">
        <f>IFERROR(('Spend mapping'!A55),"")</f>
        <v>Safety &amp; Fire Protection Supplies</v>
      </c>
      <c r="B57" s="1394"/>
      <c r="C57" s="1045"/>
      <c r="D57" s="1196">
        <f t="shared" si="7"/>
        <v>0</v>
      </c>
      <c r="E57" s="949">
        <f>IFERROR(VLOOKUP(A57,'Spend mapping'!$A$11:$C$100,3,0),"Not yet mapped. See 'Spend mapping' sheet")</f>
        <v>0.10863562660304291</v>
      </c>
      <c r="F57" s="584" t="str">
        <f t="shared" si="2"/>
        <v/>
      </c>
      <c r="G57" s="1196" t="str">
        <f t="shared" si="8"/>
        <v>Not yet mapped</v>
      </c>
      <c r="H57" s="501" t="str">
        <f>IFERROR(IF(B57="N",(((C57-'T3 calcs'!C50)*Procurement_T2!E57))+(('T3 calcs'!D50)),""),"")</f>
        <v/>
      </c>
      <c r="I57" s="165" t="str">
        <f t="shared" si="3"/>
        <v>Not yet mapped</v>
      </c>
      <c r="J57" s="181" t="s">
        <v>192</v>
      </c>
      <c r="K57" s="1064" t="str" cm="1">
        <f t="array" ref="K57">IFERROR(INDEX('Procurement lookup'!$A$1:$A$101,SMALL('Procurement lookup'!$I$1:$I$101,ROW(F45)),1),"")</f>
        <v/>
      </c>
      <c r="L57" s="1244" t="str">
        <f t="shared" si="6"/>
        <v/>
      </c>
      <c r="M57" s="1064" t="str" cm="1">
        <f t="array" ref="M57">IFERROR(INDEX('Procurement lookup'!$A$1:$A$101,SMALL('Procurement lookup'!$J$1:$J$101,ROW(J45)),1),"")</f>
        <v/>
      </c>
      <c r="N57" s="1071" t="str">
        <f t="shared" si="5"/>
        <v/>
      </c>
    </row>
    <row r="58" spans="1:14" x14ac:dyDescent="0.35">
      <c r="A58" s="947" t="str">
        <f>IFERROR(('Spend mapping'!A56),"")</f>
        <v>Serving Items</v>
      </c>
      <c r="B58" s="1394"/>
      <c r="C58" s="1045"/>
      <c r="D58" s="1196">
        <f t="shared" si="7"/>
        <v>0</v>
      </c>
      <c r="E58" s="949">
        <f>IFERROR(VLOOKUP(A58,'Spend mapping'!$A$11:$C$100,3,0),"Not yet mapped. See 'Spend mapping' sheet")</f>
        <v>0.8921997563786056</v>
      </c>
      <c r="F58" s="584" t="str">
        <f t="shared" si="2"/>
        <v/>
      </c>
      <c r="G58" s="1196" t="str">
        <f t="shared" si="8"/>
        <v>Not yet mapped</v>
      </c>
      <c r="H58" s="501" t="str">
        <f>IFERROR(IF(B58="N",(((C58-'T3 calcs'!C51)*Procurement_T2!E58))+(('T3 calcs'!D51)),""),"")</f>
        <v/>
      </c>
      <c r="I58" s="165" t="str">
        <f t="shared" si="3"/>
        <v>Not yet mapped</v>
      </c>
      <c r="J58" s="181" t="s">
        <v>192</v>
      </c>
      <c r="K58" s="1064" t="str" cm="1">
        <f t="array" ref="K58">IFERROR(INDEX('Procurement lookup'!$A$1:$A$101,SMALL('Procurement lookup'!$I$1:$I$101,ROW(F46)),1),"")</f>
        <v/>
      </c>
      <c r="L58" s="1244" t="str">
        <f t="shared" si="6"/>
        <v/>
      </c>
      <c r="M58" s="1064" t="str" cm="1">
        <f t="array" ref="M58">IFERROR(INDEX('Procurement lookup'!$A$1:$A$101,SMALL('Procurement lookup'!$J$1:$J$101,ROW(J46)),1),"")</f>
        <v/>
      </c>
      <c r="N58" s="1071" t="str">
        <f t="shared" si="5"/>
        <v/>
      </c>
    </row>
    <row r="59" spans="1:14" x14ac:dyDescent="0.35">
      <c r="A59" s="947" t="str">
        <f>IFERROR(('Spend mapping'!A57),"")</f>
        <v>Spares &amp; Accessories-Equipment</v>
      </c>
      <c r="B59" s="1394"/>
      <c r="C59" s="1045"/>
      <c r="D59" s="1196">
        <f t="shared" si="7"/>
        <v>0</v>
      </c>
      <c r="E59" s="949">
        <f>IFERROR(VLOOKUP(A59,'Spend mapping'!$A$11:$C$100,3,0),"Not yet mapped. See 'Spend mapping' sheet")</f>
        <v>0.25719083755428507</v>
      </c>
      <c r="F59" s="584" t="str">
        <f t="shared" si="2"/>
        <v/>
      </c>
      <c r="G59" s="1196" t="str">
        <f t="shared" si="8"/>
        <v>Not yet mapped</v>
      </c>
      <c r="H59" s="501" t="str">
        <f>IFERROR(IF(B59="N",(((C59-'T3 calcs'!C52)*Procurement_T2!E59))+(('T3 calcs'!D52)),""),"")</f>
        <v/>
      </c>
      <c r="I59" s="165" t="str">
        <f t="shared" si="3"/>
        <v>Not yet mapped</v>
      </c>
      <c r="J59" s="181" t="s">
        <v>192</v>
      </c>
      <c r="K59" s="1064" t="str" cm="1">
        <f t="array" ref="K59">IFERROR(INDEX('Procurement lookup'!$A$1:$A$101,SMALL('Procurement lookup'!$I$1:$I$101,ROW(F47)),1),"")</f>
        <v/>
      </c>
      <c r="L59" s="1244" t="str">
        <f t="shared" si="6"/>
        <v/>
      </c>
      <c r="M59" s="1064" t="str" cm="1">
        <f t="array" ref="M59">IFERROR(INDEX('Procurement lookup'!$A$1:$A$101,SMALL('Procurement lookup'!$J$1:$J$101,ROW(J47)),1),"")</f>
        <v/>
      </c>
      <c r="N59" s="1071" t="str">
        <f t="shared" si="5"/>
        <v/>
      </c>
    </row>
    <row r="60" spans="1:14" x14ac:dyDescent="0.35">
      <c r="A60" s="947" t="str">
        <f>IFERROR(('Spend mapping'!A58),"")</f>
        <v>Sports &amp; Rehabilitation Equipment</v>
      </c>
      <c r="B60" s="1394"/>
      <c r="C60" s="1045"/>
      <c r="D60" s="1196">
        <f t="shared" si="7"/>
        <v>0</v>
      </c>
      <c r="E60" s="949">
        <f>IFERROR(VLOOKUP(A60,'Spend mapping'!$A$11:$C$100,3,0),"Not yet mapped. See 'Spend mapping' sheet")</f>
        <v>0.31112347269860907</v>
      </c>
      <c r="F60" s="584" t="str">
        <f t="shared" si="2"/>
        <v/>
      </c>
      <c r="G60" s="1196" t="str">
        <f t="shared" si="8"/>
        <v>Not yet mapped</v>
      </c>
      <c r="H60" s="501" t="str">
        <f>IFERROR(IF(B60="N",(((C60-'T3 calcs'!C53)*Procurement_T2!E60))+(('T3 calcs'!D53)),""),"")</f>
        <v/>
      </c>
      <c r="I60" s="165" t="str">
        <f t="shared" si="3"/>
        <v>Not yet mapped</v>
      </c>
      <c r="J60" s="181" t="s">
        <v>192</v>
      </c>
      <c r="K60" s="1064" t="str" cm="1">
        <f t="array" ref="K60">IFERROR(INDEX('Procurement lookup'!$A$1:$A$101,SMALL('Procurement lookup'!$I$1:$I$101,ROW(F48)),1),"")</f>
        <v/>
      </c>
      <c r="L60" s="1244" t="str">
        <f t="shared" si="6"/>
        <v/>
      </c>
      <c r="M60" s="1064" t="str" cm="1">
        <f t="array" ref="M60">IFERROR(INDEX('Procurement lookup'!$A$1:$A$101,SMALL('Procurement lookup'!$J$1:$J$101,ROW(J48)),1),"")</f>
        <v/>
      </c>
      <c r="N60" s="1071" t="str">
        <f t="shared" si="5"/>
        <v/>
      </c>
    </row>
    <row r="61" spans="1:14" s="950" customFormat="1" x14ac:dyDescent="0.35">
      <c r="A61" s="947" t="str">
        <f>IFERROR(('Spend mapping'!A59),"")</f>
        <v>Sports Goods</v>
      </c>
      <c r="B61" s="1394"/>
      <c r="C61" s="1045"/>
      <c r="D61" s="1196">
        <f t="shared" si="7"/>
        <v>0</v>
      </c>
      <c r="E61" s="949">
        <f>IFERROR(VLOOKUP(A61,'Spend mapping'!$A$11:$C$100,3,0),"Not yet mapped. See 'Spend mapping' sheet")</f>
        <v>0.31112347269860907</v>
      </c>
      <c r="F61" s="584" t="str">
        <f t="shared" si="2"/>
        <v/>
      </c>
      <c r="G61" s="1196" t="str">
        <f t="shared" si="8"/>
        <v>Not yet mapped</v>
      </c>
      <c r="H61" s="501" t="str">
        <f>IFERROR(IF(B61="N",(((C61-'T3 calcs'!C54)*Procurement_T2!E61))+(('T3 calcs'!D54)),""),"")</f>
        <v/>
      </c>
      <c r="I61" s="165" t="str">
        <f t="shared" si="3"/>
        <v>Not yet mapped</v>
      </c>
      <c r="J61" s="181" t="s">
        <v>192</v>
      </c>
      <c r="K61" s="1064" t="str" cm="1">
        <f t="array" ref="K61">IFERROR(INDEX('Procurement lookup'!$A$1:$A$101,SMALL('Procurement lookup'!$I$1:$I$101,ROW(F49)),1),"")</f>
        <v/>
      </c>
      <c r="L61" s="1244" t="str">
        <f t="shared" si="6"/>
        <v/>
      </c>
      <c r="M61" s="1064" t="str" cm="1">
        <f t="array" ref="M61">IFERROR(INDEX('Procurement lookup'!$A$1:$A$101,SMALL('Procurement lookup'!$J$1:$J$101,ROW(J49)),1),"")</f>
        <v/>
      </c>
      <c r="N61" s="1071" t="str">
        <f t="shared" si="5"/>
        <v/>
      </c>
    </row>
    <row r="62" spans="1:14" s="950" customFormat="1" x14ac:dyDescent="0.35">
      <c r="A62" s="947" t="str">
        <f>IFERROR(('Spend mapping'!A60),"")</f>
        <v>Staff Travel (by Air) International + Domestic</v>
      </c>
      <c r="B62" s="1394"/>
      <c r="C62" s="1045"/>
      <c r="D62" s="1196">
        <f t="shared" si="7"/>
        <v>0</v>
      </c>
      <c r="E62" s="949">
        <f>IFERROR(VLOOKUP(A62,'Spend mapping'!$A$11:$C$100,3,0),"Not yet mapped. See 'Spend mapping' sheet")</f>
        <v>0.64410529332560995</v>
      </c>
      <c r="F62" s="584" t="str">
        <f t="shared" si="2"/>
        <v/>
      </c>
      <c r="G62" s="1196" t="str">
        <f t="shared" si="8"/>
        <v>Not yet mapped</v>
      </c>
      <c r="H62" s="501" t="str">
        <f>IFERROR(IF(B62="N",(((C62-'T3 calcs'!C55)*Procurement_T2!E62))+(('T3 calcs'!D55)),""),"")</f>
        <v/>
      </c>
      <c r="I62" s="165" t="str">
        <f t="shared" si="3"/>
        <v>Not yet mapped</v>
      </c>
      <c r="J62" s="181" t="s">
        <v>192</v>
      </c>
      <c r="K62" s="1064" t="str" cm="1">
        <f t="array" ref="K62">IFERROR(INDEX('Procurement lookup'!$A$1:$A$101,SMALL('Procurement lookup'!$I$1:$I$101,ROW(F50)),1),"")</f>
        <v/>
      </c>
      <c r="L62" s="1244" t="str">
        <f t="shared" si="6"/>
        <v/>
      </c>
      <c r="M62" s="1064" t="str" cm="1">
        <f t="array" ref="M62">IFERROR(INDEX('Procurement lookup'!$A$1:$A$101,SMALL('Procurement lookup'!$J$1:$J$101,ROW(J50)),1),"")</f>
        <v/>
      </c>
      <c r="N62" s="1071" t="str">
        <f t="shared" si="5"/>
        <v/>
      </c>
    </row>
    <row r="63" spans="1:14" s="950" customFormat="1" x14ac:dyDescent="0.35">
      <c r="A63" s="947" t="str">
        <f>IFERROR(('Spend mapping'!A61),"")</f>
        <v>Surgical Instruments</v>
      </c>
      <c r="B63" s="1394"/>
      <c r="C63" s="1045"/>
      <c r="D63" s="1196">
        <f t="shared" si="7"/>
        <v>0</v>
      </c>
      <c r="E63" s="949">
        <f>IFERROR(VLOOKUP(A63,'Spend mapping'!$A$11:$C$100,3,0),"Not yet mapped. See 'Spend mapping' sheet")</f>
        <v>1.4978540479526079</v>
      </c>
      <c r="F63" s="584" t="str">
        <f t="shared" si="2"/>
        <v/>
      </c>
      <c r="G63" s="1196" t="str">
        <f t="shared" si="8"/>
        <v>Not yet mapped</v>
      </c>
      <c r="H63" s="501" t="str">
        <f>IFERROR(IF(B63="N",(((C63-'T3 calcs'!C56)*Procurement_T2!E63))+(('T3 calcs'!D56)),""),"")</f>
        <v/>
      </c>
      <c r="I63" s="165" t="str">
        <f t="shared" si="3"/>
        <v>Not yet mapped</v>
      </c>
      <c r="J63" s="181" t="s">
        <v>192</v>
      </c>
      <c r="K63" s="1064" t="str" cm="1">
        <f t="array" ref="K63">IFERROR(INDEX('Procurement lookup'!$A$1:$A$101,SMALL('Procurement lookup'!$I$1:$I$101,ROW(F51)),1),"")</f>
        <v/>
      </c>
      <c r="L63" s="1244" t="str">
        <f t="shared" si="6"/>
        <v/>
      </c>
      <c r="M63" s="1064" t="str" cm="1">
        <f t="array" ref="M63">IFERROR(INDEX('Procurement lookup'!$A$1:$A$101,SMALL('Procurement lookup'!$J$1:$J$101,ROW(J51)),1),"")</f>
        <v/>
      </c>
      <c r="N63" s="1071" t="str">
        <f t="shared" si="5"/>
        <v/>
      </c>
    </row>
    <row r="64" spans="1:14" s="950" customFormat="1" x14ac:dyDescent="0.35">
      <c r="A64" s="947" t="str">
        <f>IFERROR(('Spend mapping'!A62),"")</f>
        <v>Vehicles</v>
      </c>
      <c r="B64" s="1394"/>
      <c r="C64" s="1045"/>
      <c r="D64" s="1196">
        <f t="shared" si="7"/>
        <v>0</v>
      </c>
      <c r="E64" s="949">
        <f>IFERROR(VLOOKUP(A64,'Spend mapping'!$A$11:$C$100,3,0),"Not yet mapped. See 'Spend mapping' sheet")</f>
        <v>0.1358104623904865</v>
      </c>
      <c r="F64" s="584" t="str">
        <f t="shared" si="2"/>
        <v/>
      </c>
      <c r="G64" s="1196" t="str">
        <f t="shared" si="8"/>
        <v>Not yet mapped</v>
      </c>
      <c r="H64" s="501" t="str">
        <f>IFERROR(IF(B64="N",(((C64-'T3 calcs'!C57)*Procurement_T2!E64))+(('T3 calcs'!D57)),""),"")</f>
        <v/>
      </c>
      <c r="I64" s="165" t="str">
        <f t="shared" si="3"/>
        <v>Not yet mapped</v>
      </c>
      <c r="J64" s="181" t="s">
        <v>192</v>
      </c>
      <c r="K64" s="1064" t="str" cm="1">
        <f t="array" ref="K64">IFERROR(INDEX('Procurement lookup'!$A$1:$A$101,SMALL('Procurement lookup'!$I$1:$I$101,ROW(F52)),1),"")</f>
        <v/>
      </c>
      <c r="L64" s="1244" t="str">
        <f t="shared" si="6"/>
        <v/>
      </c>
      <c r="M64" s="1064" t="str" cm="1">
        <f t="array" ref="M64">IFERROR(INDEX('Procurement lookup'!$A$1:$A$101,SMALL('Procurement lookup'!$J$1:$J$101,ROW(J52)),1),"")</f>
        <v/>
      </c>
      <c r="N64" s="1071" t="str">
        <f t="shared" si="5"/>
        <v/>
      </c>
    </row>
    <row r="65" spans="1:14" s="950" customFormat="1" x14ac:dyDescent="0.35">
      <c r="A65" s="947" t="str">
        <f>IFERROR(('Spend mapping'!A63),"")</f>
        <v>Vehicles Fuel</v>
      </c>
      <c r="B65" s="1394"/>
      <c r="C65" s="1045"/>
      <c r="D65" s="1196">
        <f t="shared" si="7"/>
        <v>0</v>
      </c>
      <c r="E65" s="949">
        <f>IFERROR(VLOOKUP(A65,'Spend mapping'!$A$11:$C$100,3,0),"Not yet mapped. See 'Spend mapping' sheet")</f>
        <v>1.4942817732753952</v>
      </c>
      <c r="F65" s="584" t="str">
        <f t="shared" si="2"/>
        <v/>
      </c>
      <c r="G65" s="1196" t="str">
        <f t="shared" si="8"/>
        <v>Not yet mapped</v>
      </c>
      <c r="H65" s="501" t="str">
        <f>IFERROR(IF(B65="N",(((C65-'T3 calcs'!C58)*Procurement_T2!E65))+(('T3 calcs'!D58)),""),"")</f>
        <v/>
      </c>
      <c r="I65" s="165" t="str">
        <f t="shared" si="3"/>
        <v>Not yet mapped</v>
      </c>
      <c r="J65" s="181" t="s">
        <v>192</v>
      </c>
      <c r="K65" s="1064" t="str" cm="1">
        <f t="array" ref="K65">IFERROR(INDEX('Procurement lookup'!$A$1:$A$101,SMALL('Procurement lookup'!$I$1:$I$101,ROW(F53)),1),"")</f>
        <v/>
      </c>
      <c r="L65" s="1244" t="str">
        <f t="shared" si="6"/>
        <v/>
      </c>
      <c r="M65" s="1064" t="str" cm="1">
        <f t="array" ref="M65">IFERROR(INDEX('Procurement lookup'!$A$1:$A$101,SMALL('Procurement lookup'!$J$1:$J$101,ROW(J53)),1),"")</f>
        <v/>
      </c>
      <c r="N65" s="1071" t="str">
        <f t="shared" si="5"/>
        <v/>
      </c>
    </row>
    <row r="66" spans="1:14" s="950" customFormat="1" x14ac:dyDescent="0.35">
      <c r="A66" s="947" t="str">
        <f>IFERROR(('Spend mapping'!A64),"")</f>
        <v>Water</v>
      </c>
      <c r="B66" s="1394"/>
      <c r="C66" s="1045"/>
      <c r="D66" s="1196">
        <f t="shared" si="7"/>
        <v>0</v>
      </c>
      <c r="E66" s="949">
        <f>IFERROR(VLOOKUP(A66,'Spend mapping'!$A$11:$C$100,3,0),"Not yet mapped. See 'Spend mapping' sheet")</f>
        <v>0.25478909394129423</v>
      </c>
      <c r="F66" s="584" t="str">
        <f t="shared" si="2"/>
        <v/>
      </c>
      <c r="G66" s="1196" t="str">
        <f t="shared" si="8"/>
        <v>Not yet mapped</v>
      </c>
      <c r="H66" s="501" t="str">
        <f>IFERROR(IF(B66="N",(((C66-'T3 calcs'!C59)*Procurement_T2!E66))+(('T3 calcs'!D59)),""),"")</f>
        <v/>
      </c>
      <c r="I66" s="165" t="str">
        <f t="shared" si="3"/>
        <v>Not yet mapped</v>
      </c>
      <c r="J66" s="181" t="s">
        <v>192</v>
      </c>
      <c r="K66" s="1064" t="str" cm="1">
        <f t="array" ref="K66">IFERROR(INDEX('Procurement lookup'!$A$1:$A$101,SMALL('Procurement lookup'!$I$1:$I$101,ROW(F54)),1),"")</f>
        <v/>
      </c>
      <c r="L66" s="1244" t="str">
        <f t="shared" si="6"/>
        <v/>
      </c>
      <c r="M66" s="1064" t="str" cm="1">
        <f t="array" ref="M66">IFERROR(INDEX('Procurement lookup'!$A$1:$A$101,SMALL('Procurement lookup'!$J$1:$J$101,ROW(J54)),1),"")</f>
        <v/>
      </c>
      <c r="N66" s="1071" t="str">
        <f t="shared" si="5"/>
        <v/>
      </c>
    </row>
    <row r="67" spans="1:14" s="950" customFormat="1" x14ac:dyDescent="0.35">
      <c r="A67" s="947" t="str">
        <f>IFERROR(('Spend mapping'!A65),"")</f>
        <v>Vehicle Maintenance-Equipment, Insurance, Rent</v>
      </c>
      <c r="B67" s="1394"/>
      <c r="C67" s="1045"/>
      <c r="D67" s="1196">
        <f t="shared" si="7"/>
        <v>0</v>
      </c>
      <c r="E67" s="949">
        <f>IFERROR(VLOOKUP(A67,'Spend mapping'!$A$11:$C$100,3,0),"Not yet mapped. See 'Spend mapping' sheet")</f>
        <v>0.38517385368578283</v>
      </c>
      <c r="F67" s="584" t="str">
        <f t="shared" si="2"/>
        <v/>
      </c>
      <c r="G67" s="1196" t="str">
        <f t="shared" si="8"/>
        <v>Not yet mapped</v>
      </c>
      <c r="H67" s="501" t="str">
        <f>IFERROR(IF(B67="N",(((C67-'T3 calcs'!C60)*Procurement_T2!E67))+(('T3 calcs'!D60)),""),"")</f>
        <v/>
      </c>
      <c r="I67" s="165" t="str">
        <f t="shared" si="3"/>
        <v>Not yet mapped</v>
      </c>
      <c r="J67" s="181" t="s">
        <v>192</v>
      </c>
      <c r="K67" s="1064" t="str" cm="1">
        <f t="array" ref="K67">IFERROR(INDEX('Procurement lookup'!$A$1:$A$101,SMALL('Procurement lookup'!$I$1:$I$101,ROW(F55)),1),"")</f>
        <v/>
      </c>
      <c r="L67" s="1244" t="str">
        <f t="shared" si="6"/>
        <v/>
      </c>
      <c r="M67" s="1064" t="str" cm="1">
        <f t="array" ref="M67">IFERROR(INDEX('Procurement lookup'!$A$1:$A$101,SMALL('Procurement lookup'!$J$1:$J$101,ROW(J55)),1),"")</f>
        <v/>
      </c>
      <c r="N67" s="1071" t="str">
        <f t="shared" si="5"/>
        <v/>
      </c>
    </row>
    <row r="68" spans="1:14" s="950" customFormat="1" x14ac:dyDescent="0.35">
      <c r="A68" s="947" t="str">
        <f>IFERROR(('Spend mapping'!A66),"")</f>
        <v>Refrigerant gases for cooling systems</v>
      </c>
      <c r="B68" s="1394"/>
      <c r="C68" s="1045"/>
      <c r="D68" s="1196">
        <f t="shared" si="7"/>
        <v>0</v>
      </c>
      <c r="E68" s="949">
        <f>IFERROR(VLOOKUP(A68,'Spend mapping'!$A$11:$C$100,3,0),"Not yet mapped. See 'Spend mapping' sheet")</f>
        <v>0.10863562660304291</v>
      </c>
      <c r="F68" s="584" t="str">
        <f t="shared" si="2"/>
        <v/>
      </c>
      <c r="G68" s="1196" t="str">
        <f t="shared" si="8"/>
        <v>Not yet mapped</v>
      </c>
      <c r="H68" s="501" t="str">
        <f>IFERROR(IF(B68="N",(((C68-'T3 calcs'!C61)*Procurement_T2!E68))+(('T3 calcs'!D61)),""),"")</f>
        <v/>
      </c>
      <c r="I68" s="165" t="str">
        <f t="shared" si="3"/>
        <v>Not yet mapped</v>
      </c>
      <c r="J68" s="181" t="s">
        <v>192</v>
      </c>
      <c r="K68" s="1064" t="str" cm="1">
        <f t="array" ref="K68">IFERROR(INDEX('Procurement lookup'!$A$1:$A$101,SMALL('Procurement lookup'!$I$1:$I$101,ROW(F56)),1),"")</f>
        <v/>
      </c>
      <c r="L68" s="1244" t="str">
        <f t="shared" si="6"/>
        <v/>
      </c>
      <c r="M68" s="1064" t="str" cm="1">
        <f t="array" ref="M68">IFERROR(INDEX('Procurement lookup'!$A$1:$A$101,SMALL('Procurement lookup'!$J$1:$J$101,ROW(J56)),1),"")</f>
        <v/>
      </c>
      <c r="N68" s="1071" t="str">
        <f t="shared" si="5"/>
        <v/>
      </c>
    </row>
    <row r="69" spans="1:14" s="950" customFormat="1" x14ac:dyDescent="0.35">
      <c r="A69" s="947" t="str">
        <f>IFERROR(('Spend mapping'!A67),"")</f>
        <v>Buidings or land rent/lease</v>
      </c>
      <c r="B69" s="1394"/>
      <c r="C69" s="1045"/>
      <c r="D69" s="948">
        <f t="shared" si="7"/>
        <v>0</v>
      </c>
      <c r="E69" s="949">
        <f>IFERROR(VLOOKUP(A69,'Spend mapping'!$A$11:$C$100,3,0),"Not yet mapped. See 'Spend mapping' sheet")</f>
        <v>0.1167304086380265</v>
      </c>
      <c r="F69" s="584" t="str">
        <f t="shared" si="2"/>
        <v/>
      </c>
      <c r="G69" s="948" t="str">
        <f t="shared" si="8"/>
        <v>Not yet mapped</v>
      </c>
      <c r="H69" s="501" t="str">
        <f>IFERROR(IF(B69="N",(((C69-'T3 calcs'!C62)*Procurement_T2!E69))+(('T3 calcs'!D62)),""),"")</f>
        <v/>
      </c>
      <c r="I69" s="165" t="str">
        <f t="shared" si="3"/>
        <v>Not yet mapped</v>
      </c>
      <c r="J69" s="181" t="s">
        <v>192</v>
      </c>
      <c r="K69" s="1064" t="str" cm="1">
        <f t="array" ref="K69">IFERROR(INDEX('Procurement lookup'!$A$1:$A$101,SMALL('Procurement lookup'!$I$1:$I$101,ROW(F57)),1),"")</f>
        <v/>
      </c>
      <c r="L69" s="1244" t="str">
        <f t="shared" si="6"/>
        <v/>
      </c>
      <c r="M69" s="1064" t="str" cm="1">
        <f t="array" ref="M69">IFERROR(INDEX('Procurement lookup'!$A$1:$A$101,SMALL('Procurement lookup'!$J$1:$J$101,ROW(J57)),1),"")</f>
        <v/>
      </c>
      <c r="N69" s="1071" t="str">
        <f t="shared" si="5"/>
        <v/>
      </c>
    </row>
    <row r="70" spans="1:14" s="950" customFormat="1" x14ac:dyDescent="0.35">
      <c r="A70" s="947" t="str">
        <f>IFERROR(('Spend mapping'!A68),"")</f>
        <v>Other professional fees</v>
      </c>
      <c r="B70" s="1394"/>
      <c r="C70" s="1045"/>
      <c r="D70" s="948">
        <f t="shared" si="7"/>
        <v>0</v>
      </c>
      <c r="E70" s="949">
        <f>IFERROR(VLOOKUP(A70,'Spend mapping'!$A$11:$C$100,3,0),"Not yet mapped. See 'Spend mapping' sheet")</f>
        <v>2.0099892781288</v>
      </c>
      <c r="F70" s="584" t="str">
        <f t="shared" si="2"/>
        <v/>
      </c>
      <c r="G70" s="948" t="str">
        <f t="shared" si="8"/>
        <v>Not yet mapped</v>
      </c>
      <c r="H70" s="501" t="str">
        <f>IFERROR(IF(B70="N",(((C70-'T3 calcs'!C63)*Procurement_T2!E70))+(('T3 calcs'!D63)),""),"")</f>
        <v/>
      </c>
      <c r="I70" s="165" t="str">
        <f t="shared" si="3"/>
        <v>Not yet mapped</v>
      </c>
      <c r="J70" s="181" t="s">
        <v>192</v>
      </c>
      <c r="K70" s="1064" t="str" cm="1">
        <f t="array" ref="K70">IFERROR(INDEX('Procurement lookup'!$A$1:$A$101,SMALL('Procurement lookup'!$I$1:$I$101,ROW(F58)),1),"")</f>
        <v/>
      </c>
      <c r="L70" s="1244" t="str">
        <f t="shared" si="6"/>
        <v/>
      </c>
      <c r="M70" s="1064" t="str" cm="1">
        <f t="array" ref="M70">IFERROR(INDEX('Procurement lookup'!$A$1:$A$101,SMALL('Procurement lookup'!$J$1:$J$101,ROW(J58)),1),"")</f>
        <v/>
      </c>
      <c r="N70" s="1071" t="str">
        <f t="shared" si="5"/>
        <v/>
      </c>
    </row>
    <row r="71" spans="1:14" s="950" customFormat="1" x14ac:dyDescent="0.35">
      <c r="A71" s="947" t="str">
        <f>IFERROR(('Spend mapping'!A69),"")</f>
        <v>Insurance</v>
      </c>
      <c r="B71" s="1394"/>
      <c r="C71" s="1045"/>
      <c r="D71" s="948">
        <f t="shared" si="7"/>
        <v>0</v>
      </c>
      <c r="E71" s="949">
        <f>IFERROR(VLOOKUP(A71,'Spend mapping'!$A$11:$C$100,3,0),"Not yet mapped. See 'Spend mapping' sheet")</f>
        <v>0.10313242233648336</v>
      </c>
      <c r="F71" s="584" t="str">
        <f t="shared" si="2"/>
        <v/>
      </c>
      <c r="G71" s="948" t="str">
        <f t="shared" si="8"/>
        <v>Not yet mapped</v>
      </c>
      <c r="H71" s="501" t="str">
        <f>IFERROR(IF(B71="N",(((C71-'T3 calcs'!C64)*Procurement_T2!E71))+(('T3 calcs'!D64)),""),"")</f>
        <v/>
      </c>
      <c r="I71" s="165" t="str">
        <f t="shared" si="3"/>
        <v>Not yet mapped</v>
      </c>
      <c r="J71" s="181" t="s">
        <v>192</v>
      </c>
      <c r="K71" s="1064" t="str" cm="1">
        <f t="array" ref="K71">IFERROR(INDEX('Procurement lookup'!$A$1:$A$101,SMALL('Procurement lookup'!$I$1:$I$101,ROW(F59)),1),"")</f>
        <v/>
      </c>
      <c r="L71" s="1244" t="str">
        <f t="shared" si="6"/>
        <v/>
      </c>
      <c r="M71" s="1064" t="str" cm="1">
        <f t="array" ref="M71">IFERROR(INDEX('Procurement lookup'!$A$1:$A$101,SMALL('Procurement lookup'!$J$1:$J$101,ROW(J59)),1),"")</f>
        <v/>
      </c>
      <c r="N71" s="1071" t="str">
        <f t="shared" si="5"/>
        <v/>
      </c>
    </row>
    <row r="72" spans="1:14" s="950" customFormat="1" x14ac:dyDescent="0.35">
      <c r="A72" s="947" t="str">
        <f>IFERROR(('Spend mapping'!A70),"")</f>
        <v>Bank fees</v>
      </c>
      <c r="B72" s="1394"/>
      <c r="C72" s="1045"/>
      <c r="D72" s="948">
        <f t="shared" si="7"/>
        <v>0</v>
      </c>
      <c r="E72" s="949">
        <f>IFERROR(VLOOKUP(A72,'Spend mapping'!$A$11:$C$100,3,0),"Not yet mapped. See 'Spend mapping' sheet")</f>
        <v>9.8816198943097941E-4</v>
      </c>
      <c r="F72" s="584" t="str">
        <f t="shared" si="2"/>
        <v/>
      </c>
      <c r="G72" s="948" t="str">
        <f t="shared" si="8"/>
        <v>Not yet mapped</v>
      </c>
      <c r="H72" s="501" t="str">
        <f>IFERROR(IF(B72="N",(((C72-'T3 calcs'!C65)*Procurement_T2!E72))+(('T3 calcs'!D65)),""),"")</f>
        <v/>
      </c>
      <c r="I72" s="165" t="str">
        <f t="shared" si="3"/>
        <v>Not yet mapped</v>
      </c>
      <c r="J72" s="181" t="s">
        <v>192</v>
      </c>
      <c r="K72" s="1064" t="str" cm="1">
        <f t="array" ref="K72">IFERROR(INDEX('Procurement lookup'!$A$1:$A$101,SMALL('Procurement lookup'!$I$1:$I$101,ROW(F60)),1),"")</f>
        <v/>
      </c>
      <c r="L72" s="1244" t="str">
        <f t="shared" si="6"/>
        <v/>
      </c>
      <c r="M72" s="1064" t="str" cm="1">
        <f t="array" ref="M72">IFERROR(INDEX('Procurement lookup'!$A$1:$A$101,SMALL('Procurement lookup'!$J$1:$J$101,ROW(J60)),1),"")</f>
        <v/>
      </c>
      <c r="N72" s="1071" t="str">
        <f t="shared" si="5"/>
        <v/>
      </c>
    </row>
    <row r="73" spans="1:14" s="950" customFormat="1" x14ac:dyDescent="0.35">
      <c r="A73" s="947" t="str">
        <f>IFERROR(('Spend mapping'!A71),"")</f>
        <v>Construction Contracts (not materials)</v>
      </c>
      <c r="B73" s="1394"/>
      <c r="C73" s="1045"/>
      <c r="D73" s="948">
        <f t="shared" si="7"/>
        <v>0</v>
      </c>
      <c r="E73" s="949">
        <f>IFERROR(VLOOKUP(A73,'Spend mapping'!$A$11:$C$100,3,0),"Not yet mapped. See 'Spend mapping' sheet")</f>
        <v>0.26922027624802486</v>
      </c>
      <c r="F73" s="584" t="str">
        <f t="shared" si="2"/>
        <v/>
      </c>
      <c r="G73" s="948" t="str">
        <f t="shared" si="8"/>
        <v>Not yet mapped</v>
      </c>
      <c r="H73" s="501" t="str">
        <f>IFERROR(IF(B73="N",(((C73-'T3 calcs'!C66)*Procurement_T2!E73))+(('T3 calcs'!D66)),""),"")</f>
        <v/>
      </c>
      <c r="I73" s="165" t="str">
        <f t="shared" si="3"/>
        <v>Not yet mapped</v>
      </c>
      <c r="J73" s="181" t="s">
        <v>192</v>
      </c>
      <c r="K73" s="1064" t="str" cm="1">
        <f t="array" ref="K73">IFERROR(INDEX('Procurement lookup'!$A$1:$A$101,SMALL('Procurement lookup'!$I$1:$I$101,ROW(F61)),1),"")</f>
        <v/>
      </c>
      <c r="L73" s="1244" t="str">
        <f t="shared" si="6"/>
        <v/>
      </c>
      <c r="M73" s="1064" t="str" cm="1">
        <f t="array" ref="M73">IFERROR(INDEX('Procurement lookup'!$A$1:$A$101,SMALL('Procurement lookup'!$J$1:$J$101,ROW(J61)),1),"")</f>
        <v/>
      </c>
      <c r="N73" s="1071" t="str">
        <f t="shared" si="5"/>
        <v/>
      </c>
    </row>
    <row r="74" spans="1:14" s="950" customFormat="1" x14ac:dyDescent="0.35">
      <c r="A74" s="947" t="str">
        <f>IFERROR(('Spend mapping'!A72),"")</f>
        <v>_</v>
      </c>
      <c r="B74" s="1394"/>
      <c r="C74" s="1045"/>
      <c r="D74" s="948">
        <f t="shared" si="7"/>
        <v>0</v>
      </c>
      <c r="E74" s="949" t="str">
        <f>IFERROR(VLOOKUP(A74,'Spend mapping'!$A$11:$C$100,3,0),"Not yet mapped. See 'Spend mapping' sheet")</f>
        <v/>
      </c>
      <c r="F74" s="584" t="str">
        <f t="shared" si="2"/>
        <v/>
      </c>
      <c r="G74" s="948" t="str">
        <f t="shared" si="8"/>
        <v>Not yet mapped</v>
      </c>
      <c r="H74" s="501" t="str">
        <f>IFERROR(IF(B74="N",(((C74-'T3 calcs'!C67)*Procurement_T2!E74))+(('T3 calcs'!D67)),""),"")</f>
        <v/>
      </c>
      <c r="I74" s="165" t="str">
        <f t="shared" si="3"/>
        <v>Not yet mapped</v>
      </c>
      <c r="J74" s="181" t="s">
        <v>192</v>
      </c>
      <c r="K74" s="1064" t="str" cm="1">
        <f t="array" ref="K74">IFERROR(INDEX('Procurement lookup'!$A$1:$A$101,SMALL('Procurement lookup'!$I$1:$I$101,ROW(F62)),1),"")</f>
        <v/>
      </c>
      <c r="L74" s="1244" t="str">
        <f t="shared" si="6"/>
        <v/>
      </c>
      <c r="M74" s="1064" t="str" cm="1">
        <f t="array" ref="M74">IFERROR(INDEX('Procurement lookup'!$A$1:$A$101,SMALL('Procurement lookup'!$J$1:$J$101,ROW(J62)),1),"")</f>
        <v/>
      </c>
      <c r="N74" s="1071" t="str">
        <f t="shared" si="5"/>
        <v/>
      </c>
    </row>
    <row r="75" spans="1:14" s="950" customFormat="1" x14ac:dyDescent="0.35">
      <c r="A75" s="947" t="str">
        <f>IFERROR(('Spend mapping'!A73),"")</f>
        <v>_</v>
      </c>
      <c r="B75" s="1394"/>
      <c r="C75" s="1045"/>
      <c r="D75" s="948">
        <f t="shared" si="7"/>
        <v>0</v>
      </c>
      <c r="E75" s="949" t="str">
        <f>IFERROR(VLOOKUP(A75,'Spend mapping'!$A$11:$C$100,3,0),"Not yet mapped. See 'Spend mapping' sheet")</f>
        <v/>
      </c>
      <c r="F75" s="584" t="str">
        <f t="shared" si="2"/>
        <v/>
      </c>
      <c r="G75" s="948" t="str">
        <f t="shared" si="8"/>
        <v>Not yet mapped</v>
      </c>
      <c r="H75" s="501" t="str">
        <f>IFERROR(IF(B75="N",(((C75-'T3 calcs'!C68)*Procurement_T2!E75))+(('T3 calcs'!D68)),""),"")</f>
        <v/>
      </c>
      <c r="I75" s="165" t="str">
        <f t="shared" si="3"/>
        <v>Not yet mapped</v>
      </c>
      <c r="J75" s="181" t="s">
        <v>192</v>
      </c>
      <c r="K75" s="1064" t="str" cm="1">
        <f t="array" ref="K75">IFERROR(INDEX('Procurement lookup'!$A$1:$A$101,SMALL('Procurement lookup'!$I$1:$I$101,ROW(F63)),1),"")</f>
        <v/>
      </c>
      <c r="L75" s="1244" t="str">
        <f t="shared" si="6"/>
        <v/>
      </c>
      <c r="M75" s="1064" t="str" cm="1">
        <f t="array" ref="M75">IFERROR(INDEX('Procurement lookup'!$A$1:$A$101,SMALL('Procurement lookup'!$J$1:$J$101,ROW(J63)),1),"")</f>
        <v/>
      </c>
      <c r="N75" s="1071" t="str">
        <f t="shared" si="5"/>
        <v/>
      </c>
    </row>
    <row r="76" spans="1:14" s="950" customFormat="1" x14ac:dyDescent="0.35">
      <c r="A76" s="947" t="str">
        <f>IFERROR(('Spend mapping'!A74),"")</f>
        <v>_</v>
      </c>
      <c r="B76" s="1394"/>
      <c r="C76" s="1045"/>
      <c r="D76" s="948">
        <f t="shared" si="7"/>
        <v>0</v>
      </c>
      <c r="E76" s="949" t="str">
        <f>IFERROR(VLOOKUP(A76,'Spend mapping'!$A$11:$C$100,3,0),"Not yet mapped. See 'Spend mapping' sheet")</f>
        <v/>
      </c>
      <c r="F76" s="584" t="str">
        <f t="shared" si="2"/>
        <v/>
      </c>
      <c r="G76" s="948" t="str">
        <f t="shared" si="8"/>
        <v>Not yet mapped</v>
      </c>
      <c r="H76" s="501" t="str">
        <f>IFERROR(IF(B76="N",(((C76-'T3 calcs'!C69)*Procurement_T2!E76))+(('T3 calcs'!D69)),""),"")</f>
        <v/>
      </c>
      <c r="I76" s="165" t="str">
        <f t="shared" si="3"/>
        <v>Not yet mapped</v>
      </c>
      <c r="J76" s="181" t="s">
        <v>192</v>
      </c>
      <c r="K76" s="1064" t="str" cm="1">
        <f t="array" ref="K76">IFERROR(INDEX('Procurement lookup'!$A$1:$A$101,SMALL('Procurement lookup'!$I$1:$I$101,ROW(F64)),1),"")</f>
        <v/>
      </c>
      <c r="L76" s="1244" t="str">
        <f t="shared" si="6"/>
        <v/>
      </c>
      <c r="M76" s="1064" t="str" cm="1">
        <f t="array" ref="M76">IFERROR(INDEX('Procurement lookup'!$A$1:$A$101,SMALL('Procurement lookup'!$J$1:$J$101,ROW(J64)),1),"")</f>
        <v/>
      </c>
      <c r="N76" s="1071" t="str">
        <f t="shared" si="5"/>
        <v/>
      </c>
    </row>
    <row r="77" spans="1:14" s="950" customFormat="1" x14ac:dyDescent="0.35">
      <c r="A77" s="947" t="str">
        <f>IFERROR(('Spend mapping'!A75),"")</f>
        <v>_</v>
      </c>
      <c r="B77" s="1394"/>
      <c r="C77" s="1045"/>
      <c r="D77" s="948">
        <f t="shared" ref="D77:D108" si="9">IFERROR(C77/SUM($C$13:$C$113),"")</f>
        <v>0</v>
      </c>
      <c r="E77" s="949" t="str">
        <f>IFERROR(VLOOKUP(A77,'Spend mapping'!$A$11:$C$100,3,0),"Not yet mapped. See 'Spend mapping' sheet")</f>
        <v/>
      </c>
      <c r="F77" s="584" t="str">
        <f t="shared" si="2"/>
        <v/>
      </c>
      <c r="G77" s="948" t="str">
        <f t="shared" ref="G77:G108" si="10">IFERROR(F77/SUM($F$13:$F$113),"Not yet mapped")</f>
        <v>Not yet mapped</v>
      </c>
      <c r="H77" s="501" t="str">
        <f>IFERROR(IF(B77="N",(((C77-'T3 calcs'!C70)*Procurement_T2!E77))+(('T3 calcs'!D70)),""),"")</f>
        <v/>
      </c>
      <c r="I77" s="165" t="str">
        <f t="shared" si="3"/>
        <v>Not yet mapped</v>
      </c>
      <c r="J77" s="181" t="s">
        <v>192</v>
      </c>
      <c r="K77" s="1064" t="str" cm="1">
        <f t="array" ref="K77">IFERROR(INDEX('Procurement lookup'!$A$1:$A$101,SMALL('Procurement lookup'!$I$1:$I$101,ROW(F65)),1),"")</f>
        <v/>
      </c>
      <c r="L77" s="1244" t="str">
        <f t="shared" si="6"/>
        <v/>
      </c>
      <c r="M77" s="1064" t="str" cm="1">
        <f t="array" ref="M77">IFERROR(INDEX('Procurement lookup'!$A$1:$A$101,SMALL('Procurement lookup'!$J$1:$J$101,ROW(J65)),1),"")</f>
        <v/>
      </c>
      <c r="N77" s="1071" t="str">
        <f t="shared" ref="N77:N112" si="11">IFERROR((VLOOKUP(M77,$A$13:$J$113,7,0)),"")</f>
        <v/>
      </c>
    </row>
    <row r="78" spans="1:14" s="950" customFormat="1" x14ac:dyDescent="0.35">
      <c r="A78" s="947" t="str">
        <f>IFERROR(('Spend mapping'!A76),"")</f>
        <v>_</v>
      </c>
      <c r="B78" s="1394"/>
      <c r="C78" s="1045"/>
      <c r="D78" s="948">
        <f t="shared" si="9"/>
        <v>0</v>
      </c>
      <c r="E78" s="949" t="str">
        <f>IFERROR(VLOOKUP(A78,'Spend mapping'!$A$11:$C$100,3,0),"Not yet mapped. See 'Spend mapping' sheet")</f>
        <v/>
      </c>
      <c r="F78" s="584" t="str">
        <f t="shared" ref="F78:F113" si="12">IFERROR(IF(B78="N",(C78*E78),""),"")</f>
        <v/>
      </c>
      <c r="G78" s="948" t="str">
        <f t="shared" si="10"/>
        <v>Not yet mapped</v>
      </c>
      <c r="H78" s="501" t="str">
        <f>IFERROR(IF(B78="N",(((C78-'T3 calcs'!C71)*Procurement_T2!E78))+(('T3 calcs'!D71)),""),"")</f>
        <v/>
      </c>
      <c r="I78" s="165" t="str">
        <f t="shared" ref="I78:I113" si="13">IF(G78&lt;=1%,"Low",IF(G78&lt;=5%,"Medium",IF(G78="Not yet mapped","Not yet mapped",IF(G78&gt;=5%,"High"))))</f>
        <v>Not yet mapped</v>
      </c>
      <c r="J78" s="181" t="s">
        <v>192</v>
      </c>
      <c r="K78" s="1064" t="str" cm="1">
        <f t="array" ref="K78">IFERROR(INDEX('Procurement lookup'!$A$1:$A$101,SMALL('Procurement lookup'!$I$1:$I$101,ROW(F66)),1),"")</f>
        <v/>
      </c>
      <c r="L78" s="1244" t="str">
        <f t="shared" si="6"/>
        <v/>
      </c>
      <c r="M78" s="1064" t="str" cm="1">
        <f t="array" ref="M78">IFERROR(INDEX('Procurement lookup'!$A$1:$A$101,SMALL('Procurement lookup'!$J$1:$J$101,ROW(J66)),1),"")</f>
        <v/>
      </c>
      <c r="N78" s="1071" t="str">
        <f t="shared" si="11"/>
        <v/>
      </c>
    </row>
    <row r="79" spans="1:14" s="950" customFormat="1" x14ac:dyDescent="0.35">
      <c r="A79" s="947" t="str">
        <f>IFERROR(('Spend mapping'!A77),"")</f>
        <v>_</v>
      </c>
      <c r="B79" s="1394"/>
      <c r="C79" s="1045"/>
      <c r="D79" s="948">
        <f t="shared" si="9"/>
        <v>0</v>
      </c>
      <c r="E79" s="949" t="str">
        <f>IFERROR(VLOOKUP(A79,'Spend mapping'!$A$11:$C$100,3,0),"Not yet mapped. See 'Spend mapping' sheet")</f>
        <v/>
      </c>
      <c r="F79" s="584" t="str">
        <f t="shared" si="12"/>
        <v/>
      </c>
      <c r="G79" s="948" t="str">
        <f t="shared" si="10"/>
        <v>Not yet mapped</v>
      </c>
      <c r="H79" s="501" t="str">
        <f>IFERROR(IF(B79="N",(((C79-'T3 calcs'!C72)*Procurement_T2!E79))+(('T3 calcs'!D72)),""),"")</f>
        <v/>
      </c>
      <c r="I79" s="165" t="str">
        <f t="shared" si="13"/>
        <v>Not yet mapped</v>
      </c>
      <c r="J79" s="181" t="s">
        <v>192</v>
      </c>
      <c r="K79" s="1064" t="str" cm="1">
        <f t="array" ref="K79">IFERROR(INDEX('Procurement lookup'!$A$1:$A$101,SMALL('Procurement lookup'!$I$1:$I$101,ROW(F67)),1),"")</f>
        <v/>
      </c>
      <c r="L79" s="1244" t="str">
        <f t="shared" ref="L79:L113" si="14">IFERROR((VLOOKUP(K79,$A$13:$J$113,7,0)),"")</f>
        <v/>
      </c>
      <c r="M79" s="1064" t="str" cm="1">
        <f t="array" ref="M79">IFERROR(INDEX('Procurement lookup'!$A$1:$A$101,SMALL('Procurement lookup'!$J$1:$J$101,ROW(J67)),1),"")</f>
        <v/>
      </c>
      <c r="N79" s="1071" t="str">
        <f t="shared" si="11"/>
        <v/>
      </c>
    </row>
    <row r="80" spans="1:14" s="950" customFormat="1" x14ac:dyDescent="0.35">
      <c r="A80" s="947" t="str">
        <f>IFERROR(('Spend mapping'!A78),"")</f>
        <v>_</v>
      </c>
      <c r="B80" s="1394"/>
      <c r="C80" s="1045"/>
      <c r="D80" s="948">
        <f t="shared" si="9"/>
        <v>0</v>
      </c>
      <c r="E80" s="949" t="str">
        <f>IFERROR(VLOOKUP(A80,'Spend mapping'!$A$11:$C$100,3,0),"Not yet mapped. See 'Spend mapping' sheet")</f>
        <v/>
      </c>
      <c r="F80" s="584" t="str">
        <f t="shared" si="12"/>
        <v/>
      </c>
      <c r="G80" s="948" t="str">
        <f t="shared" si="10"/>
        <v>Not yet mapped</v>
      </c>
      <c r="H80" s="501" t="str">
        <f>IFERROR(IF(B80="N",(((C80-'T3 calcs'!C73)*Procurement_T2!E80))+(('T3 calcs'!D73)),""),"")</f>
        <v/>
      </c>
      <c r="I80" s="165" t="str">
        <f t="shared" si="13"/>
        <v>Not yet mapped</v>
      </c>
      <c r="J80" s="181" t="s">
        <v>192</v>
      </c>
      <c r="K80" s="1064" t="str" cm="1">
        <f t="array" ref="K80">IFERROR(INDEX('Procurement lookup'!$A$1:$A$101,SMALL('Procurement lookup'!$I$1:$I$101,ROW(F68)),1),"")</f>
        <v/>
      </c>
      <c r="L80" s="1244" t="str">
        <f t="shared" si="14"/>
        <v/>
      </c>
      <c r="M80" s="1064" t="str" cm="1">
        <f t="array" ref="M80">IFERROR(INDEX('Procurement lookup'!$A$1:$A$101,SMALL('Procurement lookup'!$J$1:$J$101,ROW(J68)),1),"")</f>
        <v/>
      </c>
      <c r="N80" s="1071" t="str">
        <f t="shared" si="11"/>
        <v/>
      </c>
    </row>
    <row r="81" spans="1:14" s="950" customFormat="1" x14ac:dyDescent="0.35">
      <c r="A81" s="947" t="str">
        <f>IFERROR(('Spend mapping'!A79),"")</f>
        <v>_</v>
      </c>
      <c r="B81" s="1394"/>
      <c r="C81" s="1045"/>
      <c r="D81" s="948">
        <f t="shared" si="9"/>
        <v>0</v>
      </c>
      <c r="E81" s="949" t="str">
        <f>IFERROR(VLOOKUP(A81,'Spend mapping'!$A$11:$C$100,3,0),"Not yet mapped. See 'Spend mapping' sheet")</f>
        <v/>
      </c>
      <c r="F81" s="584" t="str">
        <f t="shared" si="12"/>
        <v/>
      </c>
      <c r="G81" s="948" t="str">
        <f t="shared" si="10"/>
        <v>Not yet mapped</v>
      </c>
      <c r="H81" s="501" t="str">
        <f>IFERROR(IF(B81="N",(((C81-'T3 calcs'!C74)*Procurement_T2!E81))+(('T3 calcs'!D74)),""),"")</f>
        <v/>
      </c>
      <c r="I81" s="165" t="str">
        <f t="shared" si="13"/>
        <v>Not yet mapped</v>
      </c>
      <c r="J81" s="181" t="s">
        <v>192</v>
      </c>
      <c r="K81" s="1064" t="str" cm="1">
        <f t="array" ref="K81">IFERROR(INDEX('Procurement lookup'!$A$1:$A$101,SMALL('Procurement lookup'!$I$1:$I$101,ROW(F69)),1),"")</f>
        <v/>
      </c>
      <c r="L81" s="1244" t="str">
        <f t="shared" si="14"/>
        <v/>
      </c>
      <c r="M81" s="1064" t="str" cm="1">
        <f t="array" ref="M81">IFERROR(INDEX('Procurement lookup'!$A$1:$A$101,SMALL('Procurement lookup'!$J$1:$J$101,ROW(J69)),1),"")</f>
        <v/>
      </c>
      <c r="N81" s="1071" t="str">
        <f t="shared" si="11"/>
        <v/>
      </c>
    </row>
    <row r="82" spans="1:14" s="950" customFormat="1" x14ac:dyDescent="0.35">
      <c r="A82" s="947" t="str">
        <f>IFERROR(('Spend mapping'!A80),"")</f>
        <v>_</v>
      </c>
      <c r="B82" s="1394"/>
      <c r="C82" s="1045"/>
      <c r="D82" s="948">
        <f t="shared" si="9"/>
        <v>0</v>
      </c>
      <c r="E82" s="949" t="str">
        <f>IFERROR(VLOOKUP(A82,'Spend mapping'!$A$11:$C$100,3,0),"Not yet mapped. See 'Spend mapping' sheet")</f>
        <v/>
      </c>
      <c r="F82" s="584" t="str">
        <f t="shared" si="12"/>
        <v/>
      </c>
      <c r="G82" s="948" t="str">
        <f t="shared" si="10"/>
        <v>Not yet mapped</v>
      </c>
      <c r="H82" s="501" t="str">
        <f>IFERROR(IF(B82="N",(((C82-'T3 calcs'!C75)*Procurement_T2!E82))+(('T3 calcs'!D75)),""),"")</f>
        <v/>
      </c>
      <c r="I82" s="165" t="str">
        <f t="shared" si="13"/>
        <v>Not yet mapped</v>
      </c>
      <c r="J82" s="181" t="s">
        <v>192</v>
      </c>
      <c r="K82" s="1064" t="str" cm="1">
        <f t="array" ref="K82">IFERROR(INDEX('Procurement lookup'!$A$1:$A$101,SMALL('Procurement lookup'!$I$1:$I$101,ROW(F70)),1),"")</f>
        <v/>
      </c>
      <c r="L82" s="1244" t="str">
        <f t="shared" si="14"/>
        <v/>
      </c>
      <c r="M82" s="1064" t="str" cm="1">
        <f t="array" ref="M82">IFERROR(INDEX('Procurement lookup'!$A$1:$A$101,SMALL('Procurement lookup'!$J$1:$J$101,ROW(J70)),1),"")</f>
        <v/>
      </c>
      <c r="N82" s="1071" t="str">
        <f t="shared" si="11"/>
        <v/>
      </c>
    </row>
    <row r="83" spans="1:14" s="950" customFormat="1" x14ac:dyDescent="0.35">
      <c r="A83" s="947" t="str">
        <f>IFERROR(('Spend mapping'!A81),"")</f>
        <v>_</v>
      </c>
      <c r="B83" s="1394"/>
      <c r="C83" s="1045"/>
      <c r="D83" s="948">
        <f t="shared" si="9"/>
        <v>0</v>
      </c>
      <c r="E83" s="949" t="str">
        <f>IFERROR(VLOOKUP(A83,'Spend mapping'!$A$11:$C$100,3,0),"Not yet mapped. See 'Spend mapping' sheet")</f>
        <v/>
      </c>
      <c r="F83" s="584" t="str">
        <f t="shared" si="12"/>
        <v/>
      </c>
      <c r="G83" s="948" t="str">
        <f t="shared" si="10"/>
        <v>Not yet mapped</v>
      </c>
      <c r="H83" s="501" t="str">
        <f>IFERROR(IF(B83="N",(((C83-'T3 calcs'!C76)*Procurement_T2!E83))+(('T3 calcs'!D76)),""),"")</f>
        <v/>
      </c>
      <c r="I83" s="165" t="str">
        <f t="shared" si="13"/>
        <v>Not yet mapped</v>
      </c>
      <c r="J83" s="181" t="s">
        <v>192</v>
      </c>
      <c r="K83" s="1064" t="str" cm="1">
        <f t="array" ref="K83">IFERROR(INDEX('Procurement lookup'!$A$1:$A$101,SMALL('Procurement lookup'!$I$1:$I$101,ROW(F71)),1),"")</f>
        <v/>
      </c>
      <c r="L83" s="1244" t="str">
        <f t="shared" si="14"/>
        <v/>
      </c>
      <c r="M83" s="1064" t="str" cm="1">
        <f t="array" ref="M83">IFERROR(INDEX('Procurement lookup'!$A$1:$A$101,SMALL('Procurement lookup'!$J$1:$J$101,ROW(J71)),1),"")</f>
        <v/>
      </c>
      <c r="N83" s="1071" t="str">
        <f t="shared" si="11"/>
        <v/>
      </c>
    </row>
    <row r="84" spans="1:14" s="950" customFormat="1" x14ac:dyDescent="0.35">
      <c r="A84" s="947" t="str">
        <f>IFERROR(('Spend mapping'!A82),"")</f>
        <v>_</v>
      </c>
      <c r="B84" s="1394"/>
      <c r="C84" s="1045"/>
      <c r="D84" s="948">
        <f t="shared" si="9"/>
        <v>0</v>
      </c>
      <c r="E84" s="949" t="str">
        <f>IFERROR(VLOOKUP(A84,'Spend mapping'!$A$11:$C$100,3,0),"Not yet mapped. See 'Spend mapping' sheet")</f>
        <v/>
      </c>
      <c r="F84" s="584" t="str">
        <f t="shared" si="12"/>
        <v/>
      </c>
      <c r="G84" s="948" t="str">
        <f t="shared" si="10"/>
        <v>Not yet mapped</v>
      </c>
      <c r="H84" s="501" t="str">
        <f>IFERROR(IF(B84="N",(((C84-'T3 calcs'!C77)*Procurement_T2!E84))+(('T3 calcs'!D77)),""),"")</f>
        <v/>
      </c>
      <c r="I84" s="165" t="str">
        <f t="shared" si="13"/>
        <v>Not yet mapped</v>
      </c>
      <c r="J84" s="181" t="s">
        <v>192</v>
      </c>
      <c r="K84" s="1064" t="str" cm="1">
        <f t="array" ref="K84">IFERROR(INDEX('Procurement lookup'!$A$1:$A$101,SMALL('Procurement lookup'!$I$1:$I$101,ROW(F72)),1),"")</f>
        <v/>
      </c>
      <c r="L84" s="1244" t="str">
        <f t="shared" si="14"/>
        <v/>
      </c>
      <c r="M84" s="1064" t="str" cm="1">
        <f t="array" ref="M84">IFERROR(INDEX('Procurement lookup'!$A$1:$A$101,SMALL('Procurement lookup'!$J$1:$J$101,ROW(J72)),1),"")</f>
        <v/>
      </c>
      <c r="N84" s="1071" t="str">
        <f t="shared" si="11"/>
        <v/>
      </c>
    </row>
    <row r="85" spans="1:14" s="950" customFormat="1" x14ac:dyDescent="0.35">
      <c r="A85" s="947" t="str">
        <f>IFERROR(('Spend mapping'!A83),"")</f>
        <v>_</v>
      </c>
      <c r="B85" s="1394"/>
      <c r="C85" s="1045"/>
      <c r="D85" s="948">
        <f t="shared" si="9"/>
        <v>0</v>
      </c>
      <c r="E85" s="949" t="str">
        <f>IFERROR(VLOOKUP(A85,'Spend mapping'!$A$11:$C$100,3,0),"Not yet mapped. See 'Spend mapping' sheet")</f>
        <v/>
      </c>
      <c r="F85" s="584" t="str">
        <f t="shared" si="12"/>
        <v/>
      </c>
      <c r="G85" s="948" t="str">
        <f t="shared" si="10"/>
        <v>Not yet mapped</v>
      </c>
      <c r="H85" s="501" t="str">
        <f>IFERROR(IF(B85="N",(((C85-'T3 calcs'!C78)*Procurement_T2!E85))+(('T3 calcs'!D78)),""),"")</f>
        <v/>
      </c>
      <c r="I85" s="165" t="str">
        <f t="shared" si="13"/>
        <v>Not yet mapped</v>
      </c>
      <c r="J85" s="181" t="s">
        <v>192</v>
      </c>
      <c r="K85" s="1064" t="str" cm="1">
        <f t="array" ref="K85">IFERROR(INDEX('Procurement lookup'!$A$1:$A$101,SMALL('Procurement lookup'!$I$1:$I$101,ROW(F73)),1),"")</f>
        <v/>
      </c>
      <c r="L85" s="1244" t="str">
        <f t="shared" si="14"/>
        <v/>
      </c>
      <c r="M85" s="1064" t="str" cm="1">
        <f t="array" ref="M85">IFERROR(INDEX('Procurement lookup'!$A$1:$A$101,SMALL('Procurement lookup'!$J$1:$J$101,ROW(J73)),1),"")</f>
        <v/>
      </c>
      <c r="N85" s="1071" t="str">
        <f t="shared" si="11"/>
        <v/>
      </c>
    </row>
    <row r="86" spans="1:14" s="950" customFormat="1" x14ac:dyDescent="0.35">
      <c r="A86" s="947" t="str">
        <f>IFERROR(('Spend mapping'!A84),"")</f>
        <v>_</v>
      </c>
      <c r="B86" s="1394"/>
      <c r="C86" s="1045"/>
      <c r="D86" s="948">
        <f t="shared" si="9"/>
        <v>0</v>
      </c>
      <c r="E86" s="949" t="str">
        <f>IFERROR(VLOOKUP(A86,'Spend mapping'!$A$11:$C$100,3,0),"Not yet mapped. See 'Spend mapping' sheet")</f>
        <v/>
      </c>
      <c r="F86" s="584" t="str">
        <f t="shared" si="12"/>
        <v/>
      </c>
      <c r="G86" s="948" t="str">
        <f t="shared" si="10"/>
        <v>Not yet mapped</v>
      </c>
      <c r="H86" s="501" t="str">
        <f>IFERROR(IF(B86="N",(((C86-'T3 calcs'!C79)*Procurement_T2!E86))+(('T3 calcs'!D79)),""),"")</f>
        <v/>
      </c>
      <c r="I86" s="165" t="str">
        <f t="shared" si="13"/>
        <v>Not yet mapped</v>
      </c>
      <c r="J86" s="181" t="s">
        <v>192</v>
      </c>
      <c r="K86" s="1064" t="str" cm="1">
        <f t="array" ref="K86">IFERROR(INDEX('Procurement lookup'!$A$1:$A$101,SMALL('Procurement lookup'!$I$1:$I$101,ROW(F74)),1),"")</f>
        <v/>
      </c>
      <c r="L86" s="1244" t="str">
        <f t="shared" si="14"/>
        <v/>
      </c>
      <c r="M86" s="1064" t="str" cm="1">
        <f t="array" ref="M86">IFERROR(INDEX('Procurement lookup'!$A$1:$A$101,SMALL('Procurement lookup'!$J$1:$J$101,ROW(J74)),1),"")</f>
        <v/>
      </c>
      <c r="N86" s="1071" t="str">
        <f t="shared" si="11"/>
        <v/>
      </c>
    </row>
    <row r="87" spans="1:14" s="950" customFormat="1" x14ac:dyDescent="0.35">
      <c r="A87" s="947" t="str">
        <f>IFERROR(('Spend mapping'!A85),"")</f>
        <v>_</v>
      </c>
      <c r="B87" s="1394"/>
      <c r="C87" s="1045"/>
      <c r="D87" s="948">
        <f t="shared" si="9"/>
        <v>0</v>
      </c>
      <c r="E87" s="949" t="str">
        <f>IFERROR(VLOOKUP(A87,'Spend mapping'!$A$11:$C$100,3,0),"Not yet mapped. See 'Spend mapping' sheet")</f>
        <v/>
      </c>
      <c r="F87" s="584" t="str">
        <f t="shared" si="12"/>
        <v/>
      </c>
      <c r="G87" s="948" t="str">
        <f t="shared" si="10"/>
        <v>Not yet mapped</v>
      </c>
      <c r="H87" s="501" t="str">
        <f>IFERROR(IF(B87="N",(((C87-'T3 calcs'!C80)*Procurement_T2!E87))+(('T3 calcs'!D80)),""),"")</f>
        <v/>
      </c>
      <c r="I87" s="165" t="str">
        <f t="shared" si="13"/>
        <v>Not yet mapped</v>
      </c>
      <c r="J87" s="181" t="s">
        <v>192</v>
      </c>
      <c r="K87" s="1064" t="str" cm="1">
        <f t="array" ref="K87">IFERROR(INDEX('Procurement lookup'!$A$1:$A$101,SMALL('Procurement lookup'!$I$1:$I$101,ROW(F75)),1),"")</f>
        <v/>
      </c>
      <c r="L87" s="1244" t="str">
        <f t="shared" si="14"/>
        <v/>
      </c>
      <c r="M87" s="1064" t="str" cm="1">
        <f t="array" ref="M87">IFERROR(INDEX('Procurement lookup'!$A$1:$A$101,SMALL('Procurement lookup'!$J$1:$J$101,ROW(J75)),1),"")</f>
        <v/>
      </c>
      <c r="N87" s="1071" t="str">
        <f t="shared" si="11"/>
        <v/>
      </c>
    </row>
    <row r="88" spans="1:14" s="950" customFormat="1" x14ac:dyDescent="0.35">
      <c r="A88" s="947" t="str">
        <f>IFERROR(('Spend mapping'!A86),"")</f>
        <v>_</v>
      </c>
      <c r="B88" s="1394"/>
      <c r="C88" s="1045"/>
      <c r="D88" s="948">
        <f t="shared" si="9"/>
        <v>0</v>
      </c>
      <c r="E88" s="949" t="str">
        <f>IFERROR(VLOOKUP(A88,'Spend mapping'!$A$11:$C$100,3,0),"Not yet mapped. See 'Spend mapping' sheet")</f>
        <v/>
      </c>
      <c r="F88" s="584" t="str">
        <f t="shared" si="12"/>
        <v/>
      </c>
      <c r="G88" s="948" t="str">
        <f t="shared" si="10"/>
        <v>Not yet mapped</v>
      </c>
      <c r="H88" s="501" t="str">
        <f>IFERROR(IF(B88="N",(((C88-'T3 calcs'!C81)*Procurement_T2!E88))+(('T3 calcs'!D81)),""),"")</f>
        <v/>
      </c>
      <c r="I88" s="165" t="str">
        <f t="shared" si="13"/>
        <v>Not yet mapped</v>
      </c>
      <c r="J88" s="181" t="s">
        <v>192</v>
      </c>
      <c r="K88" s="1064" t="str" cm="1">
        <f t="array" ref="K88">IFERROR(INDEX('Procurement lookup'!$A$1:$A$101,SMALL('Procurement lookup'!$I$1:$I$101,ROW(F76)),1),"")</f>
        <v/>
      </c>
      <c r="L88" s="1244" t="str">
        <f t="shared" si="14"/>
        <v/>
      </c>
      <c r="M88" s="1064" t="str" cm="1">
        <f t="array" ref="M88">IFERROR(INDEX('Procurement lookup'!$A$1:$A$101,SMALL('Procurement lookup'!$J$1:$J$101,ROW(J76)),1),"")</f>
        <v/>
      </c>
      <c r="N88" s="1071" t="str">
        <f t="shared" si="11"/>
        <v/>
      </c>
    </row>
    <row r="89" spans="1:14" s="950" customFormat="1" x14ac:dyDescent="0.35">
      <c r="A89" s="947" t="str">
        <f>IFERROR(('Spend mapping'!A87),"")</f>
        <v>_</v>
      </c>
      <c r="B89" s="1394"/>
      <c r="C89" s="1045"/>
      <c r="D89" s="948">
        <f t="shared" si="9"/>
        <v>0</v>
      </c>
      <c r="E89" s="949" t="str">
        <f>IFERROR(VLOOKUP(A89,'Spend mapping'!$A$11:$C$100,3,0),"Not yet mapped. See 'Spend mapping' sheet")</f>
        <v/>
      </c>
      <c r="F89" s="584" t="str">
        <f t="shared" si="12"/>
        <v/>
      </c>
      <c r="G89" s="948" t="str">
        <f t="shared" si="10"/>
        <v>Not yet mapped</v>
      </c>
      <c r="H89" s="501" t="str">
        <f>IFERROR(IF(B89="N",(((C89-'T3 calcs'!C82)*Procurement_T2!E89))+(('T3 calcs'!D82)),""),"")</f>
        <v/>
      </c>
      <c r="I89" s="165" t="str">
        <f t="shared" si="13"/>
        <v>Not yet mapped</v>
      </c>
      <c r="J89" s="181" t="s">
        <v>192</v>
      </c>
      <c r="K89" s="1064" t="str" cm="1">
        <f t="array" ref="K89">IFERROR(INDEX('Procurement lookup'!$A$1:$A$101,SMALL('Procurement lookup'!$I$1:$I$101,ROW(F77)),1),"")</f>
        <v/>
      </c>
      <c r="L89" s="1244" t="str">
        <f t="shared" si="14"/>
        <v/>
      </c>
      <c r="M89" s="1064" t="str" cm="1">
        <f t="array" ref="M89">IFERROR(INDEX('Procurement lookup'!$A$1:$A$101,SMALL('Procurement lookup'!$J$1:$J$101,ROW(J77)),1),"")</f>
        <v/>
      </c>
      <c r="N89" s="1071" t="str">
        <f t="shared" si="11"/>
        <v/>
      </c>
    </row>
    <row r="90" spans="1:14" s="950" customFormat="1" x14ac:dyDescent="0.35">
      <c r="A90" s="947" t="str">
        <f>IFERROR(('Spend mapping'!A88),"")</f>
        <v>_</v>
      </c>
      <c r="B90" s="1394"/>
      <c r="C90" s="1045"/>
      <c r="D90" s="948">
        <f t="shared" si="9"/>
        <v>0</v>
      </c>
      <c r="E90" s="949" t="str">
        <f>IFERROR(VLOOKUP(A90,'Spend mapping'!$A$11:$C$100,3,0),"Not yet mapped. See 'Spend mapping' sheet")</f>
        <v/>
      </c>
      <c r="F90" s="584" t="str">
        <f t="shared" si="12"/>
        <v/>
      </c>
      <c r="G90" s="948" t="str">
        <f t="shared" si="10"/>
        <v>Not yet mapped</v>
      </c>
      <c r="H90" s="501" t="str">
        <f>IFERROR(IF(B90="N",(((C90-'T3 calcs'!C83)*Procurement_T2!E90))+(('T3 calcs'!D83)),""),"")</f>
        <v/>
      </c>
      <c r="I90" s="165" t="str">
        <f t="shared" si="13"/>
        <v>Not yet mapped</v>
      </c>
      <c r="J90" s="181" t="s">
        <v>192</v>
      </c>
      <c r="K90" s="1064" t="str" cm="1">
        <f t="array" ref="K90">IFERROR(INDEX('Procurement lookup'!$A$1:$A$101,SMALL('Procurement lookup'!$I$1:$I$101,ROW(F78)),1),"")</f>
        <v/>
      </c>
      <c r="L90" s="1244" t="str">
        <f t="shared" si="14"/>
        <v/>
      </c>
      <c r="M90" s="1064" t="str" cm="1">
        <f t="array" ref="M90">IFERROR(INDEX('Procurement lookup'!$A$1:$A$101,SMALL('Procurement lookup'!$J$1:$J$101,ROW(J78)),1),"")</f>
        <v/>
      </c>
      <c r="N90" s="1071" t="str">
        <f t="shared" si="11"/>
        <v/>
      </c>
    </row>
    <row r="91" spans="1:14" s="950" customFormat="1" x14ac:dyDescent="0.35">
      <c r="A91" s="947" t="str">
        <f>IFERROR(('Spend mapping'!A89),"")</f>
        <v>_</v>
      </c>
      <c r="B91" s="1394"/>
      <c r="C91" s="1045"/>
      <c r="D91" s="948">
        <f t="shared" si="9"/>
        <v>0</v>
      </c>
      <c r="E91" s="949" t="str">
        <f>IFERROR(VLOOKUP(A91,'Spend mapping'!$A$11:$C$100,3,0),"Not yet mapped. See 'Spend mapping' sheet")</f>
        <v/>
      </c>
      <c r="F91" s="584" t="str">
        <f t="shared" si="12"/>
        <v/>
      </c>
      <c r="G91" s="948" t="str">
        <f t="shared" si="10"/>
        <v>Not yet mapped</v>
      </c>
      <c r="H91" s="501" t="str">
        <f>IFERROR(IF(B91="N",(((C91-'T3 calcs'!C84)*Procurement_T2!E91))+(('T3 calcs'!D84)),""),"")</f>
        <v/>
      </c>
      <c r="I91" s="165" t="str">
        <f t="shared" si="13"/>
        <v>Not yet mapped</v>
      </c>
      <c r="J91" s="181" t="s">
        <v>192</v>
      </c>
      <c r="K91" s="1064" t="str" cm="1">
        <f t="array" ref="K91">IFERROR(INDEX('Procurement lookup'!$A$1:$A$101,SMALL('Procurement lookup'!$I$1:$I$101,ROW(F79)),1),"")</f>
        <v/>
      </c>
      <c r="L91" s="1244" t="str">
        <f t="shared" si="14"/>
        <v/>
      </c>
      <c r="M91" s="1064" t="str" cm="1">
        <f t="array" ref="M91">IFERROR(INDEX('Procurement lookup'!$A$1:$A$101,SMALL('Procurement lookup'!$J$1:$J$101,ROW(J79)),1),"")</f>
        <v/>
      </c>
      <c r="N91" s="1071" t="str">
        <f t="shared" si="11"/>
        <v/>
      </c>
    </row>
    <row r="92" spans="1:14" s="950" customFormat="1" x14ac:dyDescent="0.35">
      <c r="A92" s="947" t="str">
        <f>IFERROR(('Spend mapping'!A90),"")</f>
        <v>_</v>
      </c>
      <c r="B92" s="1394"/>
      <c r="C92" s="1045"/>
      <c r="D92" s="948">
        <f t="shared" si="9"/>
        <v>0</v>
      </c>
      <c r="E92" s="949" t="str">
        <f>IFERROR(VLOOKUP(A92,'Spend mapping'!$A$11:$C$100,3,0),"Not yet mapped. See 'Spend mapping' sheet")</f>
        <v/>
      </c>
      <c r="F92" s="584" t="str">
        <f t="shared" si="12"/>
        <v/>
      </c>
      <c r="G92" s="948" t="str">
        <f t="shared" si="10"/>
        <v>Not yet mapped</v>
      </c>
      <c r="H92" s="501" t="str">
        <f>IFERROR(IF(B92="N",(((C92-'T3 calcs'!C85)*Procurement_T2!E92))+(('T3 calcs'!D85)),""),"")</f>
        <v/>
      </c>
      <c r="I92" s="165" t="str">
        <f t="shared" si="13"/>
        <v>Not yet mapped</v>
      </c>
      <c r="J92" s="181" t="s">
        <v>192</v>
      </c>
      <c r="K92" s="1064" t="str" cm="1">
        <f t="array" ref="K92">IFERROR(INDEX('Procurement lookup'!$A$1:$A$101,SMALL('Procurement lookup'!$I$1:$I$101,ROW(F80)),1),"")</f>
        <v/>
      </c>
      <c r="L92" s="1244" t="str">
        <f t="shared" si="14"/>
        <v/>
      </c>
      <c r="M92" s="1064" t="str" cm="1">
        <f t="array" ref="M92">IFERROR(INDEX('Procurement lookup'!$A$1:$A$101,SMALL('Procurement lookup'!$J$1:$J$101,ROW(J80)),1),"")</f>
        <v/>
      </c>
      <c r="N92" s="1071" t="str">
        <f t="shared" si="11"/>
        <v/>
      </c>
    </row>
    <row r="93" spans="1:14" s="950" customFormat="1" x14ac:dyDescent="0.35">
      <c r="A93" s="947" t="str">
        <f>IFERROR(('Spend mapping'!A91),"")</f>
        <v>_</v>
      </c>
      <c r="B93" s="1394"/>
      <c r="C93" s="1045"/>
      <c r="D93" s="948">
        <f t="shared" si="9"/>
        <v>0</v>
      </c>
      <c r="E93" s="949" t="str">
        <f>IFERROR(VLOOKUP(A93,'Spend mapping'!$A$11:$C$100,3,0),"Not yet mapped. See 'Spend mapping' sheet")</f>
        <v/>
      </c>
      <c r="F93" s="584" t="str">
        <f t="shared" si="12"/>
        <v/>
      </c>
      <c r="G93" s="948" t="str">
        <f t="shared" si="10"/>
        <v>Not yet mapped</v>
      </c>
      <c r="H93" s="501" t="str">
        <f>IFERROR(IF(B93="N",(((C93-'T3 calcs'!C86)*Procurement_T2!E93))+(('T3 calcs'!D86)),""),"")</f>
        <v/>
      </c>
      <c r="I93" s="165" t="str">
        <f t="shared" si="13"/>
        <v>Not yet mapped</v>
      </c>
      <c r="J93" s="181" t="s">
        <v>192</v>
      </c>
      <c r="K93" s="1064" t="str" cm="1">
        <f t="array" ref="K93">IFERROR(INDEX('Procurement lookup'!$A$1:$A$101,SMALL('Procurement lookup'!$I$1:$I$101,ROW(F81)),1),"")</f>
        <v/>
      </c>
      <c r="L93" s="1244" t="str">
        <f t="shared" si="14"/>
        <v/>
      </c>
      <c r="M93" s="1064" t="str" cm="1">
        <f t="array" ref="M93">IFERROR(INDEX('Procurement lookup'!$A$1:$A$101,SMALL('Procurement lookup'!$J$1:$J$101,ROW(J81)),1),"")</f>
        <v/>
      </c>
      <c r="N93" s="1071" t="str">
        <f t="shared" si="11"/>
        <v/>
      </c>
    </row>
    <row r="94" spans="1:14" s="950" customFormat="1" x14ac:dyDescent="0.35">
      <c r="A94" s="947" t="str">
        <f>IFERROR(('Spend mapping'!A92),"")</f>
        <v>_</v>
      </c>
      <c r="B94" s="1394"/>
      <c r="C94" s="1045"/>
      <c r="D94" s="948">
        <f t="shared" si="9"/>
        <v>0</v>
      </c>
      <c r="E94" s="949" t="str">
        <f>IFERROR(VLOOKUP(A94,'Spend mapping'!$A$11:$C$100,3,0),"Not yet mapped. See 'Spend mapping' sheet")</f>
        <v/>
      </c>
      <c r="F94" s="584" t="str">
        <f t="shared" si="12"/>
        <v/>
      </c>
      <c r="G94" s="948" t="str">
        <f t="shared" si="10"/>
        <v>Not yet mapped</v>
      </c>
      <c r="H94" s="501" t="str">
        <f>IFERROR(IF(B94="N",(((C94-'T3 calcs'!C87)*Procurement_T2!E94))+(('T3 calcs'!D87)),""),"")</f>
        <v/>
      </c>
      <c r="I94" s="165" t="str">
        <f t="shared" si="13"/>
        <v>Not yet mapped</v>
      </c>
      <c r="J94" s="181" t="s">
        <v>192</v>
      </c>
      <c r="K94" s="1064" t="str" cm="1">
        <f t="array" ref="K94">IFERROR(INDEX('Procurement lookup'!$A$1:$A$101,SMALL('Procurement lookup'!$I$1:$I$101,ROW(F82)),1),"")</f>
        <v/>
      </c>
      <c r="L94" s="1244" t="str">
        <f t="shared" si="14"/>
        <v/>
      </c>
      <c r="M94" s="1064" t="str" cm="1">
        <f t="array" ref="M94">IFERROR(INDEX('Procurement lookup'!$A$1:$A$101,SMALL('Procurement lookup'!$J$1:$J$101,ROW(J82)),1),"")</f>
        <v/>
      </c>
      <c r="N94" s="1071" t="str">
        <f t="shared" si="11"/>
        <v/>
      </c>
    </row>
    <row r="95" spans="1:14" s="950" customFormat="1" x14ac:dyDescent="0.35">
      <c r="A95" s="947" t="str">
        <f>IFERROR(('Spend mapping'!A93),"")</f>
        <v>_</v>
      </c>
      <c r="B95" s="1394"/>
      <c r="C95" s="1045"/>
      <c r="D95" s="948">
        <f t="shared" si="9"/>
        <v>0</v>
      </c>
      <c r="E95" s="949" t="str">
        <f>IFERROR(VLOOKUP(A95,'Spend mapping'!$A$11:$C$100,3,0),"Not yet mapped. See 'Spend mapping' sheet")</f>
        <v/>
      </c>
      <c r="F95" s="584" t="str">
        <f t="shared" si="12"/>
        <v/>
      </c>
      <c r="G95" s="948" t="str">
        <f t="shared" si="10"/>
        <v>Not yet mapped</v>
      </c>
      <c r="H95" s="501" t="str">
        <f>IFERROR(IF(B95="N",(((C95-'T3 calcs'!C88)*Procurement_T2!E95))+(('T3 calcs'!D88)),""),"")</f>
        <v/>
      </c>
      <c r="I95" s="165" t="str">
        <f t="shared" si="13"/>
        <v>Not yet mapped</v>
      </c>
      <c r="J95" s="181" t="s">
        <v>192</v>
      </c>
      <c r="K95" s="1064" t="str" cm="1">
        <f t="array" ref="K95">IFERROR(INDEX('Procurement lookup'!$A$1:$A$101,SMALL('Procurement lookup'!$I$1:$I$101,ROW(F83)),1),"")</f>
        <v/>
      </c>
      <c r="L95" s="1244" t="str">
        <f t="shared" si="14"/>
        <v/>
      </c>
      <c r="M95" s="1064" t="str" cm="1">
        <f t="array" ref="M95">IFERROR(INDEX('Procurement lookup'!$A$1:$A$101,SMALL('Procurement lookup'!$J$1:$J$101,ROW(J83)),1),"")</f>
        <v/>
      </c>
      <c r="N95" s="1071" t="str">
        <f t="shared" si="11"/>
        <v/>
      </c>
    </row>
    <row r="96" spans="1:14" s="950" customFormat="1" x14ac:dyDescent="0.35">
      <c r="A96" s="947" t="str">
        <f>IFERROR(('Spend mapping'!A94),"")</f>
        <v>_</v>
      </c>
      <c r="B96" s="1394"/>
      <c r="C96" s="1045"/>
      <c r="D96" s="948">
        <f t="shared" si="9"/>
        <v>0</v>
      </c>
      <c r="E96" s="949" t="str">
        <f>IFERROR(VLOOKUP(A96,'Spend mapping'!$A$11:$C$100,3,0),"Not yet mapped. See 'Spend mapping' sheet")</f>
        <v/>
      </c>
      <c r="F96" s="584" t="str">
        <f t="shared" si="12"/>
        <v/>
      </c>
      <c r="G96" s="948" t="str">
        <f t="shared" si="10"/>
        <v>Not yet mapped</v>
      </c>
      <c r="H96" s="501" t="str">
        <f>IFERROR(IF(B96="N",(((C96-'T3 calcs'!C89)*Procurement_T2!E96))+(('T3 calcs'!D89)),""),"")</f>
        <v/>
      </c>
      <c r="I96" s="165" t="str">
        <f t="shared" si="13"/>
        <v>Not yet mapped</v>
      </c>
      <c r="J96" s="181" t="s">
        <v>192</v>
      </c>
      <c r="K96" s="1064" t="str" cm="1">
        <f t="array" ref="K96">IFERROR(INDEX('Procurement lookup'!$A$1:$A$101,SMALL('Procurement lookup'!$I$1:$I$101,ROW(F84)),1),"")</f>
        <v/>
      </c>
      <c r="L96" s="1244" t="str">
        <f t="shared" si="14"/>
        <v/>
      </c>
      <c r="M96" s="1064" t="str" cm="1">
        <f t="array" ref="M96">IFERROR(INDEX('Procurement lookup'!$A$1:$A$101,SMALL('Procurement lookup'!$J$1:$J$101,ROW(J84)),1),"")</f>
        <v/>
      </c>
      <c r="N96" s="1071" t="str">
        <f t="shared" si="11"/>
        <v/>
      </c>
    </row>
    <row r="97" spans="1:14" s="950" customFormat="1" x14ac:dyDescent="0.35">
      <c r="A97" s="947" t="str">
        <f>IFERROR(('Spend mapping'!A95),"")</f>
        <v>_</v>
      </c>
      <c r="B97" s="1394"/>
      <c r="C97" s="1045"/>
      <c r="D97" s="948">
        <f t="shared" si="9"/>
        <v>0</v>
      </c>
      <c r="E97" s="949" t="str">
        <f>IFERROR(VLOOKUP(A97,'Spend mapping'!$A$11:$C$100,3,0),"Not yet mapped. See 'Spend mapping' sheet")</f>
        <v/>
      </c>
      <c r="F97" s="584" t="str">
        <f t="shared" si="12"/>
        <v/>
      </c>
      <c r="G97" s="948" t="str">
        <f t="shared" si="10"/>
        <v>Not yet mapped</v>
      </c>
      <c r="H97" s="501" t="str">
        <f>IFERROR(IF(B97="N",(((C97-'T3 calcs'!C90)*Procurement_T2!E97))+(('T3 calcs'!D90)),""),"")</f>
        <v/>
      </c>
      <c r="I97" s="165" t="str">
        <f t="shared" si="13"/>
        <v>Not yet mapped</v>
      </c>
      <c r="J97" s="181" t="s">
        <v>192</v>
      </c>
      <c r="K97" s="1064" t="str" cm="1">
        <f t="array" ref="K97">IFERROR(INDEX('Procurement lookup'!$A$1:$A$101,SMALL('Procurement lookup'!$I$1:$I$101,ROW(F85)),1),"")</f>
        <v/>
      </c>
      <c r="L97" s="1244" t="str">
        <f t="shared" si="14"/>
        <v/>
      </c>
      <c r="M97" s="1064" t="str" cm="1">
        <f t="array" ref="M97">IFERROR(INDEX('Procurement lookup'!$A$1:$A$101,SMALL('Procurement lookup'!$J$1:$J$101,ROW(J85)),1),"")</f>
        <v/>
      </c>
      <c r="N97" s="1071" t="str">
        <f t="shared" si="11"/>
        <v/>
      </c>
    </row>
    <row r="98" spans="1:14" s="950" customFormat="1" x14ac:dyDescent="0.35">
      <c r="A98" s="947" t="str">
        <f>IFERROR(('Spend mapping'!A96),"")</f>
        <v>_</v>
      </c>
      <c r="B98" s="1394"/>
      <c r="C98" s="1045"/>
      <c r="D98" s="948">
        <f t="shared" si="9"/>
        <v>0</v>
      </c>
      <c r="E98" s="949" t="str">
        <f>IFERROR(VLOOKUP(A98,'Spend mapping'!$A$11:$C$100,3,0),"Not yet mapped. See 'Spend mapping' sheet")</f>
        <v/>
      </c>
      <c r="F98" s="584" t="str">
        <f t="shared" si="12"/>
        <v/>
      </c>
      <c r="G98" s="948" t="str">
        <f t="shared" si="10"/>
        <v>Not yet mapped</v>
      </c>
      <c r="H98" s="501" t="str">
        <f>IFERROR(IF(B98="N",(((C98-'T3 calcs'!C91)*Procurement_T2!E98))+(('T3 calcs'!D91)),""),"")</f>
        <v/>
      </c>
      <c r="I98" s="165" t="str">
        <f t="shared" si="13"/>
        <v>Not yet mapped</v>
      </c>
      <c r="J98" s="181" t="s">
        <v>192</v>
      </c>
      <c r="K98" s="1064" t="str" cm="1">
        <f t="array" ref="K98">IFERROR(INDEX('Procurement lookup'!$A$1:$A$101,SMALL('Procurement lookup'!$I$1:$I$101,ROW(F86)),1),"")</f>
        <v/>
      </c>
      <c r="L98" s="1244" t="str">
        <f t="shared" si="14"/>
        <v/>
      </c>
      <c r="M98" s="1064" t="str" cm="1">
        <f t="array" ref="M98">IFERROR(INDEX('Procurement lookup'!$A$1:$A$101,SMALL('Procurement lookup'!$J$1:$J$101,ROW(J86)),1),"")</f>
        <v/>
      </c>
      <c r="N98" s="1071" t="str">
        <f t="shared" si="11"/>
        <v/>
      </c>
    </row>
    <row r="99" spans="1:14" s="950" customFormat="1" x14ac:dyDescent="0.35">
      <c r="A99" s="947" t="str">
        <f>IFERROR(('Spend mapping'!A97),"")</f>
        <v>_</v>
      </c>
      <c r="B99" s="1394"/>
      <c r="C99" s="1045"/>
      <c r="D99" s="948">
        <f t="shared" si="9"/>
        <v>0</v>
      </c>
      <c r="E99" s="949" t="str">
        <f>IFERROR(VLOOKUP(A99,'Spend mapping'!$A$11:$C$100,3,0),"Not yet mapped. See 'Spend mapping' sheet")</f>
        <v/>
      </c>
      <c r="F99" s="584" t="str">
        <f t="shared" si="12"/>
        <v/>
      </c>
      <c r="G99" s="948" t="str">
        <f t="shared" si="10"/>
        <v>Not yet mapped</v>
      </c>
      <c r="H99" s="501" t="str">
        <f>IFERROR(IF(B99="N",(((C99-'T3 calcs'!C92)*Procurement_T2!E99))+(('T3 calcs'!D92)),""),"")</f>
        <v/>
      </c>
      <c r="I99" s="165" t="str">
        <f t="shared" si="13"/>
        <v>Not yet mapped</v>
      </c>
      <c r="J99" s="181" t="s">
        <v>192</v>
      </c>
      <c r="K99" s="1064" t="str" cm="1">
        <f t="array" ref="K99">IFERROR(INDEX('Procurement lookup'!$A$1:$A$101,SMALL('Procurement lookup'!$I$1:$I$101,ROW(F87)),1),"")</f>
        <v/>
      </c>
      <c r="L99" s="1244" t="str">
        <f t="shared" si="14"/>
        <v/>
      </c>
      <c r="M99" s="1064" t="str" cm="1">
        <f t="array" ref="M99">IFERROR(INDEX('Procurement lookup'!$A$1:$A$101,SMALL('Procurement lookup'!$J$1:$J$101,ROW(J87)),1),"")</f>
        <v/>
      </c>
      <c r="N99" s="1071" t="str">
        <f t="shared" si="11"/>
        <v/>
      </c>
    </row>
    <row r="100" spans="1:14" s="950" customFormat="1" x14ac:dyDescent="0.35">
      <c r="A100" s="947" t="str">
        <f>IFERROR(('Spend mapping'!A98),"")</f>
        <v>_</v>
      </c>
      <c r="B100" s="1394"/>
      <c r="C100" s="1045"/>
      <c r="D100" s="948">
        <f t="shared" si="9"/>
        <v>0</v>
      </c>
      <c r="E100" s="949" t="str">
        <f>IFERROR(VLOOKUP(A100,'Spend mapping'!$A$11:$C$100,3,0),"Not yet mapped. See 'Spend mapping' sheet")</f>
        <v/>
      </c>
      <c r="F100" s="584" t="str">
        <f t="shared" si="12"/>
        <v/>
      </c>
      <c r="G100" s="948" t="str">
        <f t="shared" si="10"/>
        <v>Not yet mapped</v>
      </c>
      <c r="H100" s="501" t="str">
        <f>IFERROR(IF(B100="N",(((C100-'T3 calcs'!C93)*Procurement_T2!E100))+(('T3 calcs'!D93)),""),"")</f>
        <v/>
      </c>
      <c r="I100" s="165" t="str">
        <f t="shared" si="13"/>
        <v>Not yet mapped</v>
      </c>
      <c r="J100" s="181" t="s">
        <v>192</v>
      </c>
      <c r="K100" s="1064" t="str" cm="1">
        <f t="array" ref="K100">IFERROR(INDEX('Procurement lookup'!$A$1:$A$101,SMALL('Procurement lookup'!$I$1:$I$101,ROW(F88)),1),"")</f>
        <v/>
      </c>
      <c r="L100" s="1244" t="str">
        <f t="shared" si="14"/>
        <v/>
      </c>
      <c r="M100" s="1064" t="str" cm="1">
        <f t="array" ref="M100">IFERROR(INDEX('Procurement lookup'!$A$1:$A$101,SMALL('Procurement lookup'!$J$1:$J$101,ROW(J88)),1),"")</f>
        <v/>
      </c>
      <c r="N100" s="1071" t="str">
        <f t="shared" si="11"/>
        <v/>
      </c>
    </row>
    <row r="101" spans="1:14" s="950" customFormat="1" x14ac:dyDescent="0.35">
      <c r="A101" s="947" t="str">
        <f>IFERROR(('Spend mapping'!A99),"")</f>
        <v>_</v>
      </c>
      <c r="B101" s="1394"/>
      <c r="C101" s="1045"/>
      <c r="D101" s="948">
        <f t="shared" si="9"/>
        <v>0</v>
      </c>
      <c r="E101" s="949" t="str">
        <f>IFERROR(VLOOKUP(A101,'Spend mapping'!$A$11:$C$100,3,0),"Not yet mapped. See 'Spend mapping' sheet")</f>
        <v/>
      </c>
      <c r="F101" s="584" t="str">
        <f t="shared" si="12"/>
        <v/>
      </c>
      <c r="G101" s="948" t="str">
        <f t="shared" si="10"/>
        <v>Not yet mapped</v>
      </c>
      <c r="H101" s="501" t="str">
        <f>IFERROR(IF(B101="N",(((C101-'T3 calcs'!C94)*Procurement_T2!E101))+(('T3 calcs'!D94)),""),"")</f>
        <v/>
      </c>
      <c r="I101" s="165" t="str">
        <f t="shared" si="13"/>
        <v>Not yet mapped</v>
      </c>
      <c r="J101" s="181" t="s">
        <v>192</v>
      </c>
      <c r="K101" s="1064" t="str" cm="1">
        <f t="array" ref="K101">IFERROR(INDEX('Procurement lookup'!$A$1:$A$101,SMALL('Procurement lookup'!$I$1:$I$101,ROW(F89)),1),"")</f>
        <v/>
      </c>
      <c r="L101" s="1244" t="str">
        <f t="shared" si="14"/>
        <v/>
      </c>
      <c r="M101" s="1064" t="str" cm="1">
        <f t="array" ref="M101">IFERROR(INDEX('Procurement lookup'!$A$1:$A$101,SMALL('Procurement lookup'!$J$1:$J$101,ROW(J89)),1),"")</f>
        <v/>
      </c>
      <c r="N101" s="1071" t="str">
        <f t="shared" si="11"/>
        <v/>
      </c>
    </row>
    <row r="102" spans="1:14" s="950" customFormat="1" x14ac:dyDescent="0.35">
      <c r="A102" s="947" t="str">
        <f>IFERROR(('Spend mapping'!A100),"")</f>
        <v>_</v>
      </c>
      <c r="B102" s="1394"/>
      <c r="C102" s="1045"/>
      <c r="D102" s="948">
        <f t="shared" si="9"/>
        <v>0</v>
      </c>
      <c r="E102" s="949" t="str">
        <f>IFERROR(VLOOKUP(A102,'Spend mapping'!$A$11:$C$100,3,0),"Not yet mapped. See 'Spend mapping' sheet")</f>
        <v/>
      </c>
      <c r="F102" s="584" t="str">
        <f t="shared" si="12"/>
        <v/>
      </c>
      <c r="G102" s="948" t="str">
        <f t="shared" si="10"/>
        <v>Not yet mapped</v>
      </c>
      <c r="H102" s="501" t="str">
        <f>IFERROR(IF(B102="N",(((C102-'T3 calcs'!C95)*Procurement_T2!E102))+(('T3 calcs'!D95)),""),"")</f>
        <v/>
      </c>
      <c r="I102" s="165" t="str">
        <f t="shared" si="13"/>
        <v>Not yet mapped</v>
      </c>
      <c r="J102" s="181" t="s">
        <v>192</v>
      </c>
      <c r="K102" s="1064" t="str" cm="1">
        <f t="array" ref="K102">IFERROR(INDEX('Procurement lookup'!$A$1:$A$101,SMALL('Procurement lookup'!$I$1:$I$101,ROW(F90)),1),"")</f>
        <v/>
      </c>
      <c r="L102" s="1244" t="str">
        <f t="shared" si="14"/>
        <v/>
      </c>
      <c r="M102" s="1064" t="str" cm="1">
        <f t="array" ref="M102">IFERROR(INDEX('Procurement lookup'!$A$1:$A$101,SMALL('Procurement lookup'!$J$1:$J$101,ROW(J90)),1),"")</f>
        <v/>
      </c>
      <c r="N102" s="1071" t="str">
        <f t="shared" si="11"/>
        <v/>
      </c>
    </row>
    <row r="103" spans="1:14" s="950" customFormat="1" x14ac:dyDescent="0.35">
      <c r="A103" s="947" t="str">
        <f>IFERROR(('Spend mapping'!A101),"")</f>
        <v>_</v>
      </c>
      <c r="B103" s="1394"/>
      <c r="C103" s="1045"/>
      <c r="D103" s="948">
        <f t="shared" si="9"/>
        <v>0</v>
      </c>
      <c r="E103" s="949" t="str">
        <f>IFERROR(VLOOKUP(A103,'Spend mapping'!$A$11:$C$100,3,0),"Not yet mapped. See 'Spend mapping' sheet")</f>
        <v/>
      </c>
      <c r="F103" s="584" t="str">
        <f t="shared" si="12"/>
        <v/>
      </c>
      <c r="G103" s="948" t="str">
        <f t="shared" si="10"/>
        <v>Not yet mapped</v>
      </c>
      <c r="H103" s="501" t="str">
        <f>IFERROR(IF(B103="N",(((C103-'T3 calcs'!C96)*Procurement_T2!E103))+(('T3 calcs'!D96)),""),"")</f>
        <v/>
      </c>
      <c r="I103" s="165" t="str">
        <f t="shared" si="13"/>
        <v>Not yet mapped</v>
      </c>
      <c r="J103" s="181" t="s">
        <v>192</v>
      </c>
      <c r="K103" s="1064" t="str" cm="1">
        <f t="array" ref="K103">IFERROR(INDEX('Procurement lookup'!$A$1:$A$101,SMALL('Procurement lookup'!$I$1:$I$101,ROW(F91)),1),"")</f>
        <v/>
      </c>
      <c r="L103" s="1244" t="str">
        <f t="shared" si="14"/>
        <v/>
      </c>
      <c r="M103" s="1064" t="str" cm="1">
        <f t="array" ref="M103">IFERROR(INDEX('Procurement lookup'!$A$1:$A$101,SMALL('Procurement lookup'!$J$1:$J$101,ROW(J91)),1),"")</f>
        <v/>
      </c>
      <c r="N103" s="1071" t="str">
        <f t="shared" si="11"/>
        <v/>
      </c>
    </row>
    <row r="104" spans="1:14" s="950" customFormat="1" x14ac:dyDescent="0.35">
      <c r="A104" s="947" t="str">
        <f>IFERROR(('Spend mapping'!A102),"")</f>
        <v>_</v>
      </c>
      <c r="B104" s="1394"/>
      <c r="C104" s="1045"/>
      <c r="D104" s="948">
        <f t="shared" si="9"/>
        <v>0</v>
      </c>
      <c r="E104" s="949" t="str">
        <f>IFERROR(VLOOKUP(A104,'Spend mapping'!$A$11:$C$100,3,0),"Not yet mapped. See 'Spend mapping' sheet")</f>
        <v/>
      </c>
      <c r="F104" s="584" t="str">
        <f t="shared" si="12"/>
        <v/>
      </c>
      <c r="G104" s="948" t="str">
        <f t="shared" si="10"/>
        <v>Not yet mapped</v>
      </c>
      <c r="H104" s="501" t="str">
        <f>IFERROR(IF(B104="N",(((C104-'T3 calcs'!C97)*Procurement_T2!E104))+(('T3 calcs'!D97)),""),"")</f>
        <v/>
      </c>
      <c r="I104" s="165" t="str">
        <f t="shared" si="13"/>
        <v>Not yet mapped</v>
      </c>
      <c r="J104" s="181" t="s">
        <v>192</v>
      </c>
      <c r="K104" s="1064" t="str" cm="1">
        <f t="array" ref="K104">IFERROR(INDEX('Procurement lookup'!$A$1:$A$101,SMALL('Procurement lookup'!$I$1:$I$101,ROW(F92)),1),"")</f>
        <v/>
      </c>
      <c r="L104" s="1244" t="str">
        <f t="shared" si="14"/>
        <v/>
      </c>
      <c r="M104" s="1064" t="str" cm="1">
        <f t="array" ref="M104">IFERROR(INDEX('Procurement lookup'!$A$1:$A$101,SMALL('Procurement lookup'!$J$1:$J$101,ROW(J92)),1),"")</f>
        <v/>
      </c>
      <c r="N104" s="1071" t="str">
        <f t="shared" si="11"/>
        <v/>
      </c>
    </row>
    <row r="105" spans="1:14" s="950" customFormat="1" x14ac:dyDescent="0.35">
      <c r="A105" s="947" t="str">
        <f>IFERROR(('Spend mapping'!A103),"")</f>
        <v>_</v>
      </c>
      <c r="B105" s="1394"/>
      <c r="C105" s="1045"/>
      <c r="D105" s="948">
        <f t="shared" si="9"/>
        <v>0</v>
      </c>
      <c r="E105" s="949" t="str">
        <f>IFERROR(VLOOKUP(A105,'Spend mapping'!$A$11:$C$100,3,0),"Not yet mapped. See 'Spend mapping' sheet")</f>
        <v/>
      </c>
      <c r="F105" s="584" t="str">
        <f t="shared" si="12"/>
        <v/>
      </c>
      <c r="G105" s="948" t="str">
        <f t="shared" si="10"/>
        <v>Not yet mapped</v>
      </c>
      <c r="H105" s="501" t="str">
        <f>IFERROR(IF(B105="N",(((C105-'T3 calcs'!C98)*Procurement_T2!E105))+(('T3 calcs'!D98)),""),"")</f>
        <v/>
      </c>
      <c r="I105" s="165" t="str">
        <f t="shared" si="13"/>
        <v>Not yet mapped</v>
      </c>
      <c r="J105" s="181" t="s">
        <v>192</v>
      </c>
      <c r="K105" s="1064" t="str" cm="1">
        <f t="array" ref="K105">IFERROR(INDEX('Procurement lookup'!$A$1:$A$101,SMALL('Procurement lookup'!$I$1:$I$101,ROW(F93)),1),"")</f>
        <v/>
      </c>
      <c r="L105" s="1244" t="str">
        <f t="shared" si="14"/>
        <v/>
      </c>
      <c r="M105" s="1064" t="str" cm="1">
        <f t="array" ref="M105">IFERROR(INDEX('Procurement lookup'!$A$1:$A$101,SMALL('Procurement lookup'!$J$1:$J$101,ROW(J93)),1),"")</f>
        <v/>
      </c>
      <c r="N105" s="1071" t="str">
        <f t="shared" si="11"/>
        <v/>
      </c>
    </row>
    <row r="106" spans="1:14" s="950" customFormat="1" x14ac:dyDescent="0.35">
      <c r="A106" s="947" t="str">
        <f>IFERROR(('Spend mapping'!A104),"")</f>
        <v>_</v>
      </c>
      <c r="B106" s="1394"/>
      <c r="C106" s="1045"/>
      <c r="D106" s="948">
        <f t="shared" si="9"/>
        <v>0</v>
      </c>
      <c r="E106" s="949" t="str">
        <f>IFERROR(VLOOKUP(A106,'Spend mapping'!$A$11:$C$100,3,0),"Not yet mapped. See 'Spend mapping' sheet")</f>
        <v/>
      </c>
      <c r="F106" s="584" t="str">
        <f t="shared" si="12"/>
        <v/>
      </c>
      <c r="G106" s="948" t="str">
        <f t="shared" si="10"/>
        <v>Not yet mapped</v>
      </c>
      <c r="H106" s="501" t="str">
        <f>IFERROR(IF(B106="N",(((C106-'T3 calcs'!C99)*Procurement_T2!E106))+(('T3 calcs'!D99)),""),"")</f>
        <v/>
      </c>
      <c r="I106" s="165" t="str">
        <f t="shared" si="13"/>
        <v>Not yet mapped</v>
      </c>
      <c r="J106" s="181" t="s">
        <v>192</v>
      </c>
      <c r="K106" s="1064" t="str" cm="1">
        <f t="array" ref="K106">IFERROR(INDEX('Procurement lookup'!$A$1:$A$101,SMALL('Procurement lookup'!$I$1:$I$101,ROW(F94)),1),"")</f>
        <v/>
      </c>
      <c r="L106" s="1244" t="str">
        <f t="shared" si="14"/>
        <v/>
      </c>
      <c r="M106" s="1064" t="str" cm="1">
        <f t="array" ref="M106">IFERROR(INDEX('Procurement lookup'!$A$1:$A$101,SMALL('Procurement lookup'!$J$1:$J$101,ROW(J94)),1),"")</f>
        <v/>
      </c>
      <c r="N106" s="1071" t="str">
        <f t="shared" si="11"/>
        <v/>
      </c>
    </row>
    <row r="107" spans="1:14" s="950" customFormat="1" x14ac:dyDescent="0.35">
      <c r="A107" s="947" t="str">
        <f>IFERROR(('Spend mapping'!A105),"")</f>
        <v>_</v>
      </c>
      <c r="B107" s="1394"/>
      <c r="C107" s="1045"/>
      <c r="D107" s="948">
        <f t="shared" si="9"/>
        <v>0</v>
      </c>
      <c r="E107" s="949" t="str">
        <f>IFERROR(VLOOKUP(A107,'Spend mapping'!$A$11:$C$100,3,0),"Not yet mapped. See 'Spend mapping' sheet")</f>
        <v/>
      </c>
      <c r="F107" s="584" t="str">
        <f t="shared" si="12"/>
        <v/>
      </c>
      <c r="G107" s="948" t="str">
        <f t="shared" si="10"/>
        <v>Not yet mapped</v>
      </c>
      <c r="H107" s="501" t="str">
        <f>IFERROR(IF(B107="N",(((C107-'T3 calcs'!C100)*Procurement_T2!E107))+(('T3 calcs'!D100)),""),"")</f>
        <v/>
      </c>
      <c r="I107" s="165" t="str">
        <f t="shared" si="13"/>
        <v>Not yet mapped</v>
      </c>
      <c r="J107" s="181" t="s">
        <v>192</v>
      </c>
      <c r="K107" s="1064" t="str" cm="1">
        <f t="array" ref="K107">IFERROR(INDEX('Procurement lookup'!$A$1:$A$101,SMALL('Procurement lookup'!$I$1:$I$101,ROW(F95)),1),"")</f>
        <v/>
      </c>
      <c r="L107" s="1244" t="str">
        <f t="shared" si="14"/>
        <v/>
      </c>
      <c r="M107" s="1064" t="str" cm="1">
        <f t="array" ref="M107">IFERROR(INDEX('Procurement lookup'!$A$1:$A$101,SMALL('Procurement lookup'!$J$1:$J$101,ROW(J95)),1),"")</f>
        <v/>
      </c>
      <c r="N107" s="1071" t="str">
        <f t="shared" si="11"/>
        <v/>
      </c>
    </row>
    <row r="108" spans="1:14" s="950" customFormat="1" x14ac:dyDescent="0.35">
      <c r="A108" s="947" t="str">
        <f>IFERROR(('Spend mapping'!A106),"")</f>
        <v>_</v>
      </c>
      <c r="B108" s="1394"/>
      <c r="C108" s="1045"/>
      <c r="D108" s="948">
        <f t="shared" si="9"/>
        <v>0</v>
      </c>
      <c r="E108" s="949" t="str">
        <f>IFERROR(VLOOKUP(A108,'Spend mapping'!$A$11:$C$100,3,0),"Not yet mapped. See 'Spend mapping' sheet")</f>
        <v/>
      </c>
      <c r="F108" s="584" t="str">
        <f t="shared" si="12"/>
        <v/>
      </c>
      <c r="G108" s="948" t="str">
        <f t="shared" si="10"/>
        <v>Not yet mapped</v>
      </c>
      <c r="H108" s="501" t="str">
        <f>IFERROR(IF(B108="N",(((C108-'T3 calcs'!C101)*Procurement_T2!E108))+(('T3 calcs'!D101)),""),"")</f>
        <v/>
      </c>
      <c r="I108" s="165" t="str">
        <f t="shared" si="13"/>
        <v>Not yet mapped</v>
      </c>
      <c r="J108" s="181" t="s">
        <v>192</v>
      </c>
      <c r="K108" s="1064" t="str" cm="1">
        <f t="array" ref="K108">IFERROR(INDEX('Procurement lookup'!$A$1:$A$101,SMALL('Procurement lookup'!$I$1:$I$101,ROW(F96)),1),"")</f>
        <v/>
      </c>
      <c r="L108" s="1244" t="str">
        <f t="shared" si="14"/>
        <v/>
      </c>
      <c r="M108" s="1064" t="str" cm="1">
        <f t="array" ref="M108">IFERROR(INDEX('Procurement lookup'!$A$1:$A$101,SMALL('Procurement lookup'!$J$1:$J$101,ROW(J96)),1),"")</f>
        <v/>
      </c>
      <c r="N108" s="1071" t="str">
        <f t="shared" si="11"/>
        <v/>
      </c>
    </row>
    <row r="109" spans="1:14" s="950" customFormat="1" x14ac:dyDescent="0.35">
      <c r="A109" s="947" t="str">
        <f>IFERROR(('Spend mapping'!A107),"")</f>
        <v>_</v>
      </c>
      <c r="B109" s="1394"/>
      <c r="C109" s="1045"/>
      <c r="D109" s="948">
        <f t="shared" ref="D109:D113" si="15">IFERROR(C109/SUM($C$13:$C$113),"")</f>
        <v>0</v>
      </c>
      <c r="E109" s="949" t="str">
        <f>IFERROR(VLOOKUP(A109,'Spend mapping'!$A$11:$C$100,3,0),"Not yet mapped. See 'Spend mapping' sheet")</f>
        <v/>
      </c>
      <c r="F109" s="584" t="str">
        <f t="shared" si="12"/>
        <v/>
      </c>
      <c r="G109" s="948" t="str">
        <f t="shared" ref="G109:G113" si="16">IFERROR(F109/SUM($F$13:$F$113),"Not yet mapped")</f>
        <v>Not yet mapped</v>
      </c>
      <c r="H109" s="501" t="str">
        <f>IFERROR(IF(B109="N",(((C109-'T3 calcs'!C102)*Procurement_T2!E109))+(('T3 calcs'!D102)),""),"")</f>
        <v/>
      </c>
      <c r="I109" s="165" t="str">
        <f t="shared" si="13"/>
        <v>Not yet mapped</v>
      </c>
      <c r="J109" s="181" t="s">
        <v>192</v>
      </c>
      <c r="K109" s="1064" t="str" cm="1">
        <f t="array" ref="K109">IFERROR(INDEX('Procurement lookup'!$A$1:$A$101,SMALL('Procurement lookup'!$I$1:$I$101,ROW(F97)),1),"")</f>
        <v/>
      </c>
      <c r="L109" s="1244" t="str">
        <f t="shared" si="14"/>
        <v/>
      </c>
      <c r="M109" s="1064" t="str" cm="1">
        <f t="array" ref="M109">IFERROR(INDEX('Procurement lookup'!$A$1:$A$101,SMALL('Procurement lookup'!$J$1:$J$101,ROW(J97)),1),"")</f>
        <v/>
      </c>
      <c r="N109" s="1071" t="str">
        <f t="shared" si="11"/>
        <v/>
      </c>
    </row>
    <row r="110" spans="1:14" s="950" customFormat="1" x14ac:dyDescent="0.35">
      <c r="A110" s="947" t="str">
        <f>IFERROR(('Spend mapping'!A108),"")</f>
        <v>_</v>
      </c>
      <c r="B110" s="1394"/>
      <c r="C110" s="1045"/>
      <c r="D110" s="948">
        <f t="shared" si="15"/>
        <v>0</v>
      </c>
      <c r="E110" s="949" t="str">
        <f>IFERROR(VLOOKUP(A110,'Spend mapping'!$A$11:$C$100,3,0),"Not yet mapped. See 'Spend mapping' sheet")</f>
        <v/>
      </c>
      <c r="F110" s="584" t="str">
        <f t="shared" si="12"/>
        <v/>
      </c>
      <c r="G110" s="948" t="str">
        <f t="shared" si="16"/>
        <v>Not yet mapped</v>
      </c>
      <c r="H110" s="501" t="str">
        <f>IFERROR(IF(B110="N",(((C110-'T3 calcs'!C103)*Procurement_T2!E110))+(('T3 calcs'!D103)),""),"")</f>
        <v/>
      </c>
      <c r="I110" s="165" t="str">
        <f t="shared" si="13"/>
        <v>Not yet mapped</v>
      </c>
      <c r="J110" s="181" t="s">
        <v>192</v>
      </c>
      <c r="K110" s="1064" t="str" cm="1">
        <f t="array" ref="K110">IFERROR(INDEX('Procurement lookup'!$A$1:$A$101,SMALL('Procurement lookup'!$I$1:$I$101,ROW(F98)),1),"")</f>
        <v/>
      </c>
      <c r="L110" s="1244" t="str">
        <f t="shared" si="14"/>
        <v/>
      </c>
      <c r="M110" s="1064" t="str" cm="1">
        <f t="array" ref="M110">IFERROR(INDEX('Procurement lookup'!$A$1:$A$101,SMALL('Procurement lookup'!$J$1:$J$101,ROW(J98)),1),"")</f>
        <v/>
      </c>
      <c r="N110" s="1071" t="str">
        <f t="shared" si="11"/>
        <v/>
      </c>
    </row>
    <row r="111" spans="1:14" s="950" customFormat="1" x14ac:dyDescent="0.35">
      <c r="A111" s="947" t="str">
        <f>IFERROR(('Spend mapping'!A109),"")</f>
        <v>_</v>
      </c>
      <c r="B111" s="1394"/>
      <c r="C111" s="1045"/>
      <c r="D111" s="948">
        <f t="shared" si="15"/>
        <v>0</v>
      </c>
      <c r="E111" s="949" t="str">
        <f>IFERROR(VLOOKUP(A111,'Spend mapping'!$A$11:$C$100,3,0),"Not yet mapped. See 'Spend mapping' sheet")</f>
        <v/>
      </c>
      <c r="F111" s="584" t="str">
        <f t="shared" si="12"/>
        <v/>
      </c>
      <c r="G111" s="948" t="str">
        <f t="shared" si="16"/>
        <v>Not yet mapped</v>
      </c>
      <c r="H111" s="501" t="str">
        <f>IFERROR(IF(B111="N",(((C111-'T3 calcs'!C104)*Procurement_T2!E111))+(('T3 calcs'!D104)),""),"")</f>
        <v/>
      </c>
      <c r="I111" s="165" t="str">
        <f t="shared" si="13"/>
        <v>Not yet mapped</v>
      </c>
      <c r="J111" s="181" t="s">
        <v>192</v>
      </c>
      <c r="K111" s="1064" t="str" cm="1">
        <f t="array" ref="K111">IFERROR(INDEX('Procurement lookup'!$A$1:$A$101,SMALL('Procurement lookup'!$I$1:$I$101,ROW(F99)),1),"")</f>
        <v/>
      </c>
      <c r="L111" s="1244" t="str">
        <f t="shared" si="14"/>
        <v/>
      </c>
      <c r="M111" s="1064" t="str" cm="1">
        <f t="array" ref="M111">IFERROR(INDEX('Procurement lookup'!$A$1:$A$101,SMALL('Procurement lookup'!$J$1:$J$101,ROW(J99)),1),"")</f>
        <v/>
      </c>
      <c r="N111" s="1071" t="str">
        <f t="shared" si="11"/>
        <v/>
      </c>
    </row>
    <row r="112" spans="1:14" s="950" customFormat="1" x14ac:dyDescent="0.35">
      <c r="A112" s="947" t="str">
        <f>IFERROR(('Spend mapping'!A110),"")</f>
        <v>_</v>
      </c>
      <c r="B112" s="1394"/>
      <c r="C112" s="1045"/>
      <c r="D112" s="948">
        <f t="shared" si="15"/>
        <v>0</v>
      </c>
      <c r="E112" s="949" t="str">
        <f>IFERROR(VLOOKUP(A112,'Spend mapping'!$A$11:$C$100,3,0),"Not yet mapped. See 'Spend mapping' sheet")</f>
        <v/>
      </c>
      <c r="F112" s="584" t="str">
        <f t="shared" si="12"/>
        <v/>
      </c>
      <c r="G112" s="948" t="str">
        <f t="shared" si="16"/>
        <v>Not yet mapped</v>
      </c>
      <c r="H112" s="501" t="str">
        <f>IFERROR(IF(B112="N",(((C112-'T3 calcs'!C105)*Procurement_T2!E112))+(('T3 calcs'!D105)),""),"")</f>
        <v/>
      </c>
      <c r="I112" s="165" t="str">
        <f t="shared" si="13"/>
        <v>Not yet mapped</v>
      </c>
      <c r="J112" s="181" t="s">
        <v>192</v>
      </c>
      <c r="K112" s="1064" t="str" cm="1">
        <f t="array" ref="K112">IFERROR(INDEX('Procurement lookup'!$A$1:$A$101,SMALL('Procurement lookup'!$I$1:$I$101,ROW(F100)),1),"")</f>
        <v/>
      </c>
      <c r="L112" s="1244" t="str">
        <f t="shared" si="14"/>
        <v/>
      </c>
      <c r="M112" s="1064" t="str" cm="1">
        <f t="array" ref="M112">IFERROR(INDEX('Procurement lookup'!$A$1:$A$101,SMALL('Procurement lookup'!$J$1:$J$101,ROW(J100)),1),"")</f>
        <v/>
      </c>
      <c r="N112" s="1071" t="str">
        <f t="shared" si="11"/>
        <v/>
      </c>
    </row>
    <row r="113" spans="1:14" s="950" customFormat="1" ht="15" thickBot="1" x14ac:dyDescent="0.4">
      <c r="A113" s="951" t="str">
        <f>IFERROR(('Spend mapping'!A111),"")</f>
        <v>_</v>
      </c>
      <c r="B113" s="1395"/>
      <c r="C113" s="1046"/>
      <c r="D113" s="984">
        <f t="shared" si="15"/>
        <v>0</v>
      </c>
      <c r="E113" s="952" t="str">
        <f>IFERROR(VLOOKUP(A113,'Spend mapping'!$A$11:$C$100,3,0),"Not yet mapped. See 'Spend mapping' sheet")</f>
        <v/>
      </c>
      <c r="F113" s="585" t="str">
        <f t="shared" si="12"/>
        <v/>
      </c>
      <c r="G113" s="984" t="str">
        <f t="shared" si="16"/>
        <v>Not yet mapped</v>
      </c>
      <c r="H113" s="502" t="str">
        <f>IFERROR(IF(B113="N",(((C113-'T3 calcs'!C106)*Procurement_T2!E113))+(('T3 calcs'!D106)),""),"")</f>
        <v/>
      </c>
      <c r="I113" s="182" t="str">
        <f t="shared" si="13"/>
        <v>Not yet mapped</v>
      </c>
      <c r="J113" s="185" t="s">
        <v>192</v>
      </c>
      <c r="K113" s="1065" t="str" cm="1">
        <f t="array" ref="K113">IFERROR(INDEX('Procurement lookup'!$A$1:$A$101,SMALL('Procurement lookup'!$I$1:$I$101,ROW(F101)),1),"")</f>
        <v/>
      </c>
      <c r="L113" s="1245" t="str">
        <f t="shared" si="14"/>
        <v/>
      </c>
      <c r="M113" s="1065" t="str" cm="1">
        <f t="array" ref="M113">IFERROR(INDEX('Procurement lookup'!$A$1:$A$101,SMALL('Procurement lookup'!$J$1:$J$101,ROW(J101)),1),"")</f>
        <v/>
      </c>
      <c r="N113" s="1072" t="str">
        <f t="shared" ref="N113" si="17">IFERROR((VLOOKUP(M113,$A$13:$J$113,7,0)),"")</f>
        <v/>
      </c>
    </row>
  </sheetData>
  <sheetProtection algorithmName="SHA-512" hashValue="v4wLqv8mww5K1HQKZfHkyh2QqLBia1kmh/HsLO/S3aYRPL0a30CP+Oob7nsI9vbzgvu7IRQ60y0C8DQCc+T5mw==" saltValue="P4U6hsbxeqSeb8/lc7FjeA==" spinCount="100000" sheet="1" objects="1" scenarios="1"/>
  <protectedRanges>
    <protectedRange sqref="I2 I5 B13:C113" name="Range2"/>
    <protectedRange sqref="I2" name="Range2_1"/>
  </protectedRanges>
  <mergeCells count="6">
    <mergeCell ref="H2:H6"/>
    <mergeCell ref="I2:M6"/>
    <mergeCell ref="A1:B1"/>
    <mergeCell ref="A3:F3"/>
    <mergeCell ref="A2:F2"/>
    <mergeCell ref="D5:F6"/>
  </mergeCells>
  <conditionalFormatting sqref="B5">
    <cfRule type="containsText" dxfId="29" priority="2" operator="containsText" text="No Data-Select a region or economic classification group">
      <formula>NOT(ISERROR(SEARCH("No Data-Select a region or economic classification group",B5)))</formula>
    </cfRule>
  </conditionalFormatting>
  <conditionalFormatting sqref="B13:B113">
    <cfRule type="expression" dxfId="28" priority="1">
      <formula>C13&gt;0</formula>
    </cfRule>
  </conditionalFormatting>
  <conditionalFormatting sqref="I13:I113">
    <cfRule type="containsText" dxfId="27" priority="8" operator="containsText" text="Not yet mapped">
      <formula>NOT(ISERROR(SEARCH("Not yet mapped",I13)))</formula>
    </cfRule>
    <cfRule type="containsText" dxfId="26" priority="9" operator="containsText" text="High">
      <formula>NOT(ISERROR(SEARCH("High",I13)))</formula>
    </cfRule>
    <cfRule type="containsText" dxfId="25" priority="10" operator="containsText" text="Medium">
      <formula>NOT(ISERROR(SEARCH("Medium",I13)))</formula>
    </cfRule>
    <cfRule type="containsText" dxfId="24" priority="11" operator="containsText" text="Low">
      <formula>NOT(ISERROR(SEARCH("Low",I13)))</formula>
    </cfRule>
  </conditionalFormatting>
  <dataValidations count="2">
    <dataValidation type="list" allowBlank="1" showInputMessage="1" showErrorMessage="1" sqref="B13:B113" xr:uid="{F6E421F8-7186-46D8-ABA6-40C7D657C69A}">
      <formula1>$P$13:$P$14</formula1>
    </dataValidation>
    <dataValidation type="decimal" allowBlank="1" showInputMessage="1" showErrorMessage="1" errorTitle="Data in thousands" error="Enter data in 1000's of dollars. As It is unlikely that you will spend more than $50m in one area, limits have been set on these cells. If you need to enter more than $50m contact AKDN to remove the data entry restriction." sqref="C13:C113" xr:uid="{E1EC2ED8-9E44-47C4-B893-87BAC8E5A991}">
      <formula1>0</formula1>
      <formula2>50000</formula2>
    </dataValidation>
  </dataValidations>
  <pageMargins left="0.7" right="0.7" top="0.75" bottom="0.75" header="0.3" footer="0.3"/>
  <pageSetup paperSize="9" orientation="portrait" horizontalDpi="360" verticalDpi="36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AF7E7-4C56-4492-9DA1-0A93D57E7DB0}">
  <dimension ref="A1:K101"/>
  <sheetViews>
    <sheetView topLeftCell="D79" workbookViewId="0">
      <selection activeCell="D79" sqref="A1:XFD1048576"/>
    </sheetView>
  </sheetViews>
  <sheetFormatPr defaultColWidth="14.26953125" defaultRowHeight="14.5" x14ac:dyDescent="0.35"/>
  <cols>
    <col min="1" max="1" width="43.7265625" bestFit="1" customWidth="1"/>
    <col min="6" max="7" width="15.453125" bestFit="1" customWidth="1"/>
    <col min="8" max="8" width="14.26953125" customWidth="1"/>
  </cols>
  <sheetData>
    <row r="1" spans="1:11" x14ac:dyDescent="0.35">
      <c r="A1" t="str">
        <f>Procurement_T2!A13</f>
        <v>Anesthetic Gases</v>
      </c>
      <c r="B1">
        <f>Procurement_T2!C13</f>
        <v>0</v>
      </c>
      <c r="C1">
        <f>Procurement_T2!D13</f>
        <v>0</v>
      </c>
      <c r="D1">
        <f>Procurement_T2!E13</f>
        <v>1.4978540479526063</v>
      </c>
      <c r="E1" t="str">
        <f>Procurement_T2!F13</f>
        <v/>
      </c>
      <c r="F1" t="str">
        <f>Procurement_T2!G13</f>
        <v>Not yet mapped</v>
      </c>
      <c r="G1" t="str">
        <f>Procurement_T2!I13</f>
        <v>Not yet mapped</v>
      </c>
      <c r="H1" t="str">
        <f>Procurement_T2!J13</f>
        <v>Scope 3</v>
      </c>
      <c r="I1" s="976" t="str">
        <f>IF($G1="High",ROW(),"")</f>
        <v/>
      </c>
      <c r="J1" s="976" t="str">
        <f>IF($G1="Medium",ROW(),"")</f>
        <v/>
      </c>
      <c r="K1" s="976" t="str">
        <f>IF($G1="Low",ROW(),"")</f>
        <v/>
      </c>
    </row>
    <row r="2" spans="1:11" x14ac:dyDescent="0.35">
      <c r="A2" t="str">
        <f>Procurement_T2!A14</f>
        <v>Building fuels, generator diesel, gas etc.  </v>
      </c>
      <c r="B2">
        <f>Procurement_T2!C14</f>
        <v>50</v>
      </c>
      <c r="C2">
        <f>Procurement_T2!D14</f>
        <v>8.9285714285714288E-2</v>
      </c>
      <c r="D2">
        <f>Procurement_T2!E14</f>
        <v>1.4942817732753952</v>
      </c>
      <c r="E2" t="str">
        <f>Procurement_T2!F14</f>
        <v/>
      </c>
      <c r="F2" t="str">
        <f>Procurement_T2!G14</f>
        <v>Not yet mapped</v>
      </c>
      <c r="G2" t="str">
        <f>Procurement_T2!I14</f>
        <v>Not yet mapped</v>
      </c>
      <c r="H2" t="str">
        <f>Procurement_T2!J14</f>
        <v>Scope 3</v>
      </c>
      <c r="I2" s="976" t="str">
        <f t="shared" ref="I2:I65" si="0">IF($G2="High",ROW(),"")</f>
        <v/>
      </c>
      <c r="J2" s="976" t="str">
        <f t="shared" ref="J2:J65" si="1">IF($G2="Medium",ROW(),"")</f>
        <v/>
      </c>
      <c r="K2" s="976" t="str">
        <f t="shared" ref="K2:K65" si="2">IF($G2="Low",ROW(),"")</f>
        <v/>
      </c>
    </row>
    <row r="3" spans="1:11" x14ac:dyDescent="0.35">
      <c r="A3" t="str">
        <f>Procurement_T2!A15</f>
        <v>Animal and Animal Supplies</v>
      </c>
      <c r="B3">
        <f>Procurement_T2!C15</f>
        <v>10</v>
      </c>
      <c r="C3">
        <f>Procurement_T2!D15</f>
        <v>1.7857142857142856E-2</v>
      </c>
      <c r="D3">
        <f>Procurement_T2!E15</f>
        <v>0.65770301945775445</v>
      </c>
      <c r="E3" t="str">
        <f>Procurement_T2!F15</f>
        <v/>
      </c>
      <c r="F3" t="str">
        <f>Procurement_T2!G15</f>
        <v>Not yet mapped</v>
      </c>
      <c r="G3" t="str">
        <f>Procurement_T2!I15</f>
        <v>Not yet mapped</v>
      </c>
      <c r="H3" t="str">
        <f>Procurement_T2!J15</f>
        <v>Scope 3</v>
      </c>
      <c r="I3" s="976" t="str">
        <f t="shared" si="0"/>
        <v/>
      </c>
      <c r="J3" s="976" t="str">
        <f t="shared" si="1"/>
        <v/>
      </c>
      <c r="K3" s="976" t="str">
        <f t="shared" si="2"/>
        <v/>
      </c>
    </row>
    <row r="4" spans="1:11" x14ac:dyDescent="0.35">
      <c r="A4" t="str">
        <f>Procurement_T2!A16</f>
        <v>Cleaning Supplies</v>
      </c>
      <c r="B4">
        <f>Procurement_T2!C16</f>
        <v>0</v>
      </c>
      <c r="C4">
        <f>Procurement_T2!D16</f>
        <v>0</v>
      </c>
      <c r="D4">
        <f>Procurement_T2!E16</f>
        <v>7.7102339093611527E-2</v>
      </c>
      <c r="E4" t="str">
        <f>Procurement_T2!F16</f>
        <v/>
      </c>
      <c r="F4" t="str">
        <f>Procurement_T2!G16</f>
        <v>Not yet mapped</v>
      </c>
      <c r="G4" t="str">
        <f>Procurement_T2!I16</f>
        <v>Not yet mapped</v>
      </c>
      <c r="H4" t="str">
        <f>Procurement_T2!J16</f>
        <v>Scope 3</v>
      </c>
      <c r="I4" s="976" t="str">
        <f t="shared" si="0"/>
        <v/>
      </c>
      <c r="J4" s="976" t="str">
        <f t="shared" si="1"/>
        <v/>
      </c>
      <c r="K4" s="976" t="str">
        <f t="shared" si="2"/>
        <v/>
      </c>
    </row>
    <row r="5" spans="1:11" x14ac:dyDescent="0.35">
      <c r="A5" t="str">
        <f>Procurement_T2!A17</f>
        <v xml:space="preserve">Dental supplies </v>
      </c>
      <c r="B5">
        <f>Procurement_T2!C17</f>
        <v>0</v>
      </c>
      <c r="C5">
        <f>Procurement_T2!D17</f>
        <v>0</v>
      </c>
      <c r="D5">
        <f>Procurement_T2!E17</f>
        <v>1.4978540479526079</v>
      </c>
      <c r="E5" t="str">
        <f>Procurement_T2!F17</f>
        <v/>
      </c>
      <c r="F5" t="str">
        <f>Procurement_T2!G17</f>
        <v>Not yet mapped</v>
      </c>
      <c r="G5" t="str">
        <f>Procurement_T2!I17</f>
        <v>Not yet mapped</v>
      </c>
      <c r="H5" t="str">
        <f>Procurement_T2!J17</f>
        <v>Scope 3</v>
      </c>
      <c r="I5" s="976" t="str">
        <f t="shared" si="0"/>
        <v/>
      </c>
      <c r="J5" s="976" t="str">
        <f t="shared" si="1"/>
        <v/>
      </c>
      <c r="K5" s="976" t="str">
        <f t="shared" si="2"/>
        <v/>
      </c>
    </row>
    <row r="6" spans="1:11" x14ac:dyDescent="0.35">
      <c r="A6" t="str">
        <f>Procurement_T2!A18</f>
        <v>Communication Accessories</v>
      </c>
      <c r="B6">
        <f>Procurement_T2!C18</f>
        <v>0</v>
      </c>
      <c r="C6">
        <f>Procurement_T2!D18</f>
        <v>0</v>
      </c>
      <c r="D6">
        <f>Procurement_T2!E18</f>
        <v>0.54685807069270498</v>
      </c>
      <c r="E6" t="str">
        <f>Procurement_T2!F18</f>
        <v/>
      </c>
      <c r="F6" t="str">
        <f>Procurement_T2!G18</f>
        <v>Not yet mapped</v>
      </c>
      <c r="G6" t="str">
        <f>Procurement_T2!I18</f>
        <v>Not yet mapped</v>
      </c>
      <c r="H6" t="str">
        <f>Procurement_T2!J18</f>
        <v>Scope 3</v>
      </c>
      <c r="I6" s="976" t="str">
        <f t="shared" si="0"/>
        <v/>
      </c>
      <c r="J6" s="976" t="str">
        <f t="shared" si="1"/>
        <v/>
      </c>
      <c r="K6" s="976" t="str">
        <f t="shared" si="2"/>
        <v/>
      </c>
    </row>
    <row r="7" spans="1:11" x14ac:dyDescent="0.35">
      <c r="A7" t="str">
        <f>Procurement_T2!A19</f>
        <v>Communication Equipment</v>
      </c>
      <c r="B7">
        <f>Procurement_T2!C19</f>
        <v>0</v>
      </c>
      <c r="C7">
        <f>Procurement_T2!D19</f>
        <v>0</v>
      </c>
      <c r="D7">
        <f>Procurement_T2!E19</f>
        <v>0.28938747931464609</v>
      </c>
      <c r="E7" t="str">
        <f>Procurement_T2!F19</f>
        <v/>
      </c>
      <c r="F7" t="str">
        <f>Procurement_T2!G19</f>
        <v>Not yet mapped</v>
      </c>
      <c r="G7" t="str">
        <f>Procurement_T2!I19</f>
        <v>Not yet mapped</v>
      </c>
      <c r="H7" t="str">
        <f>Procurement_T2!J19</f>
        <v>Scope 3</v>
      </c>
      <c r="I7" s="976" t="str">
        <f t="shared" si="0"/>
        <v/>
      </c>
      <c r="J7" s="976" t="str">
        <f t="shared" si="1"/>
        <v/>
      </c>
      <c r="K7" s="976" t="str">
        <f t="shared" si="2"/>
        <v/>
      </c>
    </row>
    <row r="8" spans="1:11" x14ac:dyDescent="0.35">
      <c r="A8" t="str">
        <f>Procurement_T2!A20</f>
        <v>Communication Supplies</v>
      </c>
      <c r="B8">
        <f>Procurement_T2!C20</f>
        <v>0</v>
      </c>
      <c r="C8">
        <f>Procurement_T2!D20</f>
        <v>0</v>
      </c>
      <c r="D8">
        <f>Procurement_T2!E20</f>
        <v>0.1624512720092442</v>
      </c>
      <c r="E8" t="str">
        <f>Procurement_T2!F20</f>
        <v/>
      </c>
      <c r="F8" t="str">
        <f>Procurement_T2!G20</f>
        <v>Not yet mapped</v>
      </c>
      <c r="G8" t="str">
        <f>Procurement_T2!I20</f>
        <v>Not yet mapped</v>
      </c>
      <c r="H8" t="str">
        <f>Procurement_T2!J20</f>
        <v>Scope 3</v>
      </c>
      <c r="I8" s="976" t="str">
        <f t="shared" si="0"/>
        <v/>
      </c>
      <c r="J8" s="976" t="str">
        <f t="shared" si="1"/>
        <v/>
      </c>
      <c r="K8" s="976" t="str">
        <f t="shared" si="2"/>
        <v/>
      </c>
    </row>
    <row r="9" spans="1:11" x14ac:dyDescent="0.35">
      <c r="A9" t="str">
        <f>Procurement_T2!A21</f>
        <v>Computer Hardware Maintenance</v>
      </c>
      <c r="B9">
        <f>Procurement_T2!C21</f>
        <v>0</v>
      </c>
      <c r="C9">
        <f>Procurement_T2!D21</f>
        <v>0</v>
      </c>
      <c r="D9">
        <f>Procurement_T2!E21</f>
        <v>0.54685807069270498</v>
      </c>
      <c r="E9" t="str">
        <f>Procurement_T2!F21</f>
        <v/>
      </c>
      <c r="F9" t="str">
        <f>Procurement_T2!G21</f>
        <v>Not yet mapped</v>
      </c>
      <c r="G9" t="str">
        <f>Procurement_T2!I21</f>
        <v>Not yet mapped</v>
      </c>
      <c r="H9" t="str">
        <f>Procurement_T2!J21</f>
        <v>Scope 3</v>
      </c>
      <c r="I9" s="976" t="str">
        <f t="shared" si="0"/>
        <v/>
      </c>
      <c r="J9" s="976" t="str">
        <f t="shared" si="1"/>
        <v/>
      </c>
      <c r="K9" s="976" t="str">
        <f t="shared" si="2"/>
        <v/>
      </c>
    </row>
    <row r="10" spans="1:11" x14ac:dyDescent="0.35">
      <c r="A10" t="str">
        <f>Procurement_T2!A22</f>
        <v>Computer S/W License &amp; Rental</v>
      </c>
      <c r="B10">
        <f>Procurement_T2!C22</f>
        <v>0</v>
      </c>
      <c r="C10">
        <f>Procurement_T2!D22</f>
        <v>0</v>
      </c>
      <c r="D10">
        <f>Procurement_T2!E22</f>
        <v>0.60361316094628881</v>
      </c>
      <c r="E10" t="str">
        <f>Procurement_T2!F22</f>
        <v/>
      </c>
      <c r="F10" t="str">
        <f>Procurement_T2!G22</f>
        <v>Not yet mapped</v>
      </c>
      <c r="G10" t="str">
        <f>Procurement_T2!I22</f>
        <v>Not yet mapped</v>
      </c>
      <c r="H10" t="str">
        <f>Procurement_T2!J22</f>
        <v>Scope 3</v>
      </c>
      <c r="I10" s="976" t="str">
        <f t="shared" si="0"/>
        <v/>
      </c>
      <c r="J10" s="976" t="str">
        <f t="shared" si="1"/>
        <v/>
      </c>
      <c r="K10" s="976" t="str">
        <f t="shared" si="2"/>
        <v/>
      </c>
    </row>
    <row r="11" spans="1:11" x14ac:dyDescent="0.35">
      <c r="A11" t="str">
        <f>Procurement_T2!A23</f>
        <v>Construction Materials</v>
      </c>
      <c r="B11">
        <f>Procurement_T2!C23</f>
        <v>0</v>
      </c>
      <c r="C11">
        <f>Procurement_T2!D23</f>
        <v>0</v>
      </c>
      <c r="D11">
        <f>Procurement_T2!E23</f>
        <v>0.26922027624802486</v>
      </c>
      <c r="E11">
        <f>Procurement_T2!F23</f>
        <v>0</v>
      </c>
      <c r="F11" t="str">
        <f>Procurement_T2!G23</f>
        <v>Not yet mapped</v>
      </c>
      <c r="G11" t="str">
        <f>Procurement_T2!I23</f>
        <v>Not yet mapped</v>
      </c>
      <c r="H11" t="str">
        <f>Procurement_T2!J23</f>
        <v>Scope 3</v>
      </c>
      <c r="I11" s="976" t="str">
        <f t="shared" si="0"/>
        <v/>
      </c>
      <c r="J11" s="976" t="str">
        <f t="shared" si="1"/>
        <v/>
      </c>
      <c r="K11" s="976" t="str">
        <f t="shared" si="2"/>
        <v/>
      </c>
    </row>
    <row r="12" spans="1:11" x14ac:dyDescent="0.35">
      <c r="A12" t="str">
        <f>Procurement_T2!A24</f>
        <v>Electricity</v>
      </c>
      <c r="B12">
        <f>Procurement_T2!C24</f>
        <v>500</v>
      </c>
      <c r="C12">
        <f>Procurement_T2!D24</f>
        <v>0.8928571428571429</v>
      </c>
      <c r="D12">
        <f>Procurement_T2!E24</f>
        <v>1.6191409333518547</v>
      </c>
      <c r="E12" t="str">
        <f>Procurement_T2!F24</f>
        <v/>
      </c>
      <c r="F12" t="str">
        <f>Procurement_T2!G24</f>
        <v>Not yet mapped</v>
      </c>
      <c r="G12" t="str">
        <f>Procurement_T2!I24</f>
        <v>Not yet mapped</v>
      </c>
      <c r="H12" t="str">
        <f>Procurement_T2!J24</f>
        <v>Scope 3</v>
      </c>
      <c r="I12" s="976" t="str">
        <f t="shared" si="0"/>
        <v/>
      </c>
      <c r="J12" s="976" t="str">
        <f t="shared" si="1"/>
        <v/>
      </c>
      <c r="K12" s="976" t="str">
        <f t="shared" si="2"/>
        <v/>
      </c>
    </row>
    <row r="13" spans="1:11" x14ac:dyDescent="0.35">
      <c r="A13" t="str">
        <f>Procurement_T2!A25</f>
        <v>Employee Apparel</v>
      </c>
      <c r="B13">
        <f>Procurement_T2!C25</f>
        <v>0</v>
      </c>
      <c r="C13">
        <f>Procurement_T2!D25</f>
        <v>0</v>
      </c>
      <c r="D13">
        <f>Procurement_T2!E25</f>
        <v>0.20816330315263928</v>
      </c>
      <c r="E13" t="str">
        <f>Procurement_T2!F25</f>
        <v/>
      </c>
      <c r="F13" t="str">
        <f>Procurement_T2!G25</f>
        <v>Not yet mapped</v>
      </c>
      <c r="G13" t="str">
        <f>Procurement_T2!I25</f>
        <v>Not yet mapped</v>
      </c>
      <c r="H13" t="str">
        <f>Procurement_T2!J25</f>
        <v>Scope 3</v>
      </c>
      <c r="I13" s="976" t="str">
        <f t="shared" si="0"/>
        <v/>
      </c>
      <c r="J13" s="976" t="str">
        <f t="shared" si="1"/>
        <v/>
      </c>
      <c r="K13" s="976" t="str">
        <f t="shared" si="2"/>
        <v/>
      </c>
    </row>
    <row r="14" spans="1:11" x14ac:dyDescent="0.35">
      <c r="A14" t="str">
        <f>Procurement_T2!A26</f>
        <v>Enteral Feeds</v>
      </c>
      <c r="B14">
        <f>Procurement_T2!C26</f>
        <v>0</v>
      </c>
      <c r="C14">
        <f>Procurement_T2!D26</f>
        <v>0</v>
      </c>
      <c r="D14">
        <f>Procurement_T2!E26</f>
        <v>0.32670304510099168</v>
      </c>
      <c r="E14" t="str">
        <f>Procurement_T2!F26</f>
        <v/>
      </c>
      <c r="F14" t="str">
        <f>Procurement_T2!G26</f>
        <v>Not yet mapped</v>
      </c>
      <c r="G14" t="str">
        <f>Procurement_T2!I26</f>
        <v>Not yet mapped</v>
      </c>
      <c r="H14" t="str">
        <f>Procurement_T2!J26</f>
        <v>Scope 3</v>
      </c>
      <c r="I14" s="976" t="str">
        <f t="shared" si="0"/>
        <v/>
      </c>
      <c r="J14" s="976" t="str">
        <f t="shared" si="1"/>
        <v/>
      </c>
      <c r="K14" s="976" t="str">
        <f t="shared" si="2"/>
        <v/>
      </c>
    </row>
    <row r="15" spans="1:11" x14ac:dyDescent="0.35">
      <c r="A15" t="str">
        <f>Procurement_T2!A27</f>
        <v>Facilities Maintenance Equipment</v>
      </c>
      <c r="B15">
        <f>Procurement_T2!C27</f>
        <v>0</v>
      </c>
      <c r="C15">
        <f>Procurement_T2!D27</f>
        <v>0</v>
      </c>
      <c r="D15">
        <f>Procurement_T2!E27</f>
        <v>7.694738900307628E-2</v>
      </c>
      <c r="E15" t="str">
        <f>Procurement_T2!F27</f>
        <v/>
      </c>
      <c r="F15" t="str">
        <f>Procurement_T2!G27</f>
        <v>Not yet mapped</v>
      </c>
      <c r="G15" t="str">
        <f>Procurement_T2!I27</f>
        <v>Not yet mapped</v>
      </c>
      <c r="H15" t="str">
        <f>Procurement_T2!J27</f>
        <v>Scope 3</v>
      </c>
      <c r="I15" s="976" t="str">
        <f t="shared" si="0"/>
        <v/>
      </c>
      <c r="J15" s="976" t="str">
        <f t="shared" si="1"/>
        <v/>
      </c>
      <c r="K15" s="976" t="str">
        <f t="shared" si="2"/>
        <v/>
      </c>
    </row>
    <row r="16" spans="1:11" x14ac:dyDescent="0.35">
      <c r="A16" t="str">
        <f>Procurement_T2!A28</f>
        <v>Fast Moving Consumer Goods</v>
      </c>
      <c r="B16">
        <f>Procurement_T2!C28</f>
        <v>0</v>
      </c>
      <c r="C16">
        <f>Procurement_T2!D28</f>
        <v>0</v>
      </c>
      <c r="D16">
        <f>Procurement_T2!E28</f>
        <v>6.4145617108595981E-2</v>
      </c>
      <c r="E16" t="str">
        <f>Procurement_T2!F28</f>
        <v/>
      </c>
      <c r="F16" t="str">
        <f>Procurement_T2!G28</f>
        <v>Not yet mapped</v>
      </c>
      <c r="G16" t="str">
        <f>Procurement_T2!I28</f>
        <v>Not yet mapped</v>
      </c>
      <c r="H16" t="str">
        <f>Procurement_T2!J28</f>
        <v>Scope 3</v>
      </c>
      <c r="I16" s="976" t="str">
        <f t="shared" si="0"/>
        <v/>
      </c>
      <c r="J16" s="976" t="str">
        <f t="shared" si="1"/>
        <v/>
      </c>
      <c r="K16" s="976" t="str">
        <f t="shared" si="2"/>
        <v/>
      </c>
    </row>
    <row r="17" spans="1:11" x14ac:dyDescent="0.35">
      <c r="A17" t="str">
        <f>Procurement_T2!A29</f>
        <v>Food Supplies</v>
      </c>
      <c r="B17">
        <f>Procurement_T2!C29</f>
        <v>0</v>
      </c>
      <c r="C17">
        <f>Procurement_T2!D29</f>
        <v>0</v>
      </c>
      <c r="D17">
        <f>Procurement_T2!E29</f>
        <v>0.41414750625716223</v>
      </c>
      <c r="E17" t="str">
        <f>Procurement_T2!F29</f>
        <v/>
      </c>
      <c r="F17" t="str">
        <f>Procurement_T2!G29</f>
        <v>Not yet mapped</v>
      </c>
      <c r="G17" t="str">
        <f>Procurement_T2!I29</f>
        <v>Not yet mapped</v>
      </c>
      <c r="H17" t="str">
        <f>Procurement_T2!J29</f>
        <v>Scope 3</v>
      </c>
      <c r="I17" s="976" t="str">
        <f t="shared" si="0"/>
        <v/>
      </c>
      <c r="J17" s="976" t="str">
        <f t="shared" si="1"/>
        <v/>
      </c>
      <c r="K17" s="976" t="str">
        <f t="shared" si="2"/>
        <v/>
      </c>
    </row>
    <row r="18" spans="1:11" x14ac:dyDescent="0.35">
      <c r="A18" t="str">
        <f>Procurement_T2!A30</f>
        <v>Fuel and Lubricants</v>
      </c>
      <c r="B18">
        <f>Procurement_T2!C30</f>
        <v>0</v>
      </c>
      <c r="C18">
        <f>Procurement_T2!D30</f>
        <v>0</v>
      </c>
      <c r="D18">
        <f>Procurement_T2!E30</f>
        <v>1.5196815769955567</v>
      </c>
      <c r="E18" t="str">
        <f>Procurement_T2!F30</f>
        <v/>
      </c>
      <c r="F18" t="str">
        <f>Procurement_T2!G30</f>
        <v>Not yet mapped</v>
      </c>
      <c r="G18" t="str">
        <f>Procurement_T2!I30</f>
        <v>Not yet mapped</v>
      </c>
      <c r="H18" t="str">
        <f>Procurement_T2!J30</f>
        <v>Scope 3</v>
      </c>
      <c r="I18" s="976" t="str">
        <f t="shared" si="0"/>
        <v/>
      </c>
      <c r="J18" s="976" t="str">
        <f t="shared" si="1"/>
        <v/>
      </c>
      <c r="K18" s="976" t="str">
        <f t="shared" si="2"/>
        <v/>
      </c>
    </row>
    <row r="19" spans="1:11" x14ac:dyDescent="0.35">
      <c r="A19" t="str">
        <f>Procurement_T2!A31</f>
        <v>Furniture &amp; Fixture</v>
      </c>
      <c r="B19">
        <f>Procurement_T2!C31</f>
        <v>0</v>
      </c>
      <c r="C19">
        <f>Procurement_T2!D31</f>
        <v>0</v>
      </c>
      <c r="D19">
        <f>Procurement_T2!E31</f>
        <v>0.10885853146011447</v>
      </c>
      <c r="E19" t="str">
        <f>Procurement_T2!F31</f>
        <v/>
      </c>
      <c r="F19" t="str">
        <f>Procurement_T2!G31</f>
        <v>Not yet mapped</v>
      </c>
      <c r="G19" t="str">
        <f>Procurement_T2!I31</f>
        <v>Not yet mapped</v>
      </c>
      <c r="H19" t="str">
        <f>Procurement_T2!J31</f>
        <v>Scope 3</v>
      </c>
      <c r="I19" s="976" t="str">
        <f t="shared" si="0"/>
        <v/>
      </c>
      <c r="J19" s="976" t="str">
        <f t="shared" si="1"/>
        <v/>
      </c>
      <c r="K19" s="976" t="str">
        <f t="shared" si="2"/>
        <v/>
      </c>
    </row>
    <row r="20" spans="1:11" x14ac:dyDescent="0.35">
      <c r="A20" t="str">
        <f>Procurement_T2!A32</f>
        <v>Gift shop supplies</v>
      </c>
      <c r="B20">
        <f>Procurement_T2!C32</f>
        <v>0</v>
      </c>
      <c r="C20">
        <f>Procurement_T2!D32</f>
        <v>0</v>
      </c>
      <c r="D20">
        <f>Procurement_T2!E32</f>
        <v>0.31112347269860907</v>
      </c>
      <c r="E20" t="str">
        <f>Procurement_T2!F32</f>
        <v/>
      </c>
      <c r="F20" t="str">
        <f>Procurement_T2!G32</f>
        <v>Not yet mapped</v>
      </c>
      <c r="G20" t="str">
        <f>Procurement_T2!I32</f>
        <v>Not yet mapped</v>
      </c>
      <c r="H20" t="str">
        <f>Procurement_T2!J32</f>
        <v>Scope 3</v>
      </c>
      <c r="I20" s="976" t="str">
        <f t="shared" si="0"/>
        <v/>
      </c>
      <c r="J20" s="976" t="str">
        <f t="shared" si="1"/>
        <v/>
      </c>
      <c r="K20" s="976" t="str">
        <f t="shared" si="2"/>
        <v/>
      </c>
    </row>
    <row r="21" spans="1:11" x14ac:dyDescent="0.35">
      <c r="A21" t="str">
        <f>Procurement_T2!A33</f>
        <v>Gas (Utility)</v>
      </c>
      <c r="B21">
        <f>Procurement_T2!C33</f>
        <v>0</v>
      </c>
      <c r="C21">
        <f>Procurement_T2!D33</f>
        <v>0</v>
      </c>
      <c r="D21">
        <f>Procurement_T2!E33</f>
        <v>5.0153492134032014</v>
      </c>
      <c r="E21" t="str">
        <f>Procurement_T2!F33</f>
        <v/>
      </c>
      <c r="F21" t="str">
        <f>Procurement_T2!G33</f>
        <v>Not yet mapped</v>
      </c>
      <c r="G21" t="str">
        <f>Procurement_T2!I33</f>
        <v>Not yet mapped</v>
      </c>
      <c r="H21" t="str">
        <f>Procurement_T2!J33</f>
        <v>Scope 3</v>
      </c>
      <c r="I21" s="976" t="str">
        <f t="shared" si="0"/>
        <v/>
      </c>
      <c r="J21" s="976" t="str">
        <f t="shared" si="1"/>
        <v/>
      </c>
      <c r="K21" s="976" t="str">
        <f t="shared" si="2"/>
        <v/>
      </c>
    </row>
    <row r="22" spans="1:11" x14ac:dyDescent="0.35">
      <c r="A22" t="str">
        <f>Procurement_T2!A34</f>
        <v>Household Equipment</v>
      </c>
      <c r="B22">
        <f>Procurement_T2!C34</f>
        <v>0</v>
      </c>
      <c r="C22">
        <f>Procurement_T2!D34</f>
        <v>0</v>
      </c>
      <c r="D22">
        <f>Procurement_T2!E34</f>
        <v>0.63101171312008464</v>
      </c>
      <c r="E22" t="str">
        <f>Procurement_T2!F34</f>
        <v/>
      </c>
      <c r="F22" t="str">
        <f>Procurement_T2!G34</f>
        <v>Not yet mapped</v>
      </c>
      <c r="G22" t="str">
        <f>Procurement_T2!I34</f>
        <v>Not yet mapped</v>
      </c>
      <c r="H22" t="str">
        <f>Procurement_T2!J34</f>
        <v>Scope 3</v>
      </c>
      <c r="I22" s="976" t="str">
        <f t="shared" si="0"/>
        <v/>
      </c>
      <c r="J22" s="976" t="str">
        <f t="shared" si="1"/>
        <v/>
      </c>
      <c r="K22" s="976" t="str">
        <f t="shared" si="2"/>
        <v/>
      </c>
    </row>
    <row r="23" spans="1:11" x14ac:dyDescent="0.35">
      <c r="A23" t="str">
        <f>Procurement_T2!A35</f>
        <v>Imaging Supplies</v>
      </c>
      <c r="B23">
        <f>Procurement_T2!C35</f>
        <v>0</v>
      </c>
      <c r="C23">
        <f>Procurement_T2!D35</f>
        <v>0</v>
      </c>
      <c r="D23">
        <f>Procurement_T2!E35</f>
        <v>0.52022755395149056</v>
      </c>
      <c r="E23" t="str">
        <f>Procurement_T2!F35</f>
        <v/>
      </c>
      <c r="F23" t="str">
        <f>Procurement_T2!G35</f>
        <v>Not yet mapped</v>
      </c>
      <c r="G23" t="str">
        <f>Procurement_T2!I35</f>
        <v>Not yet mapped</v>
      </c>
      <c r="H23" t="str">
        <f>Procurement_T2!J35</f>
        <v>Scope 3</v>
      </c>
      <c r="I23" s="976" t="str">
        <f t="shared" si="0"/>
        <v/>
      </c>
      <c r="J23" s="976" t="str">
        <f t="shared" si="1"/>
        <v/>
      </c>
      <c r="K23" s="976" t="str">
        <f t="shared" si="2"/>
        <v/>
      </c>
    </row>
    <row r="24" spans="1:11" x14ac:dyDescent="0.35">
      <c r="A24" t="str">
        <f>Procurement_T2!A36</f>
        <v>IT Accessories</v>
      </c>
      <c r="B24">
        <f>Procurement_T2!C36</f>
        <v>0</v>
      </c>
      <c r="C24">
        <f>Procurement_T2!D36</f>
        <v>0</v>
      </c>
      <c r="D24">
        <f>Procurement_T2!E36</f>
        <v>0.54685807069270509</v>
      </c>
      <c r="E24" t="str">
        <f>Procurement_T2!F36</f>
        <v/>
      </c>
      <c r="F24" t="str">
        <f>Procurement_T2!G36</f>
        <v>Not yet mapped</v>
      </c>
      <c r="G24" t="str">
        <f>Procurement_T2!I36</f>
        <v>Not yet mapped</v>
      </c>
      <c r="H24" t="str">
        <f>Procurement_T2!J36</f>
        <v>Scope 3</v>
      </c>
      <c r="I24" s="976" t="str">
        <f t="shared" si="0"/>
        <v/>
      </c>
      <c r="J24" s="976" t="str">
        <f t="shared" si="1"/>
        <v/>
      </c>
      <c r="K24" s="976" t="str">
        <f t="shared" si="2"/>
        <v/>
      </c>
    </row>
    <row r="25" spans="1:11" x14ac:dyDescent="0.35">
      <c r="A25" t="str">
        <f>Procurement_T2!A37</f>
        <v>IT Equipment</v>
      </c>
      <c r="B25">
        <f>Procurement_T2!C37</f>
        <v>0</v>
      </c>
      <c r="C25">
        <f>Procurement_T2!D37</f>
        <v>0</v>
      </c>
      <c r="D25">
        <f>Procurement_T2!E37</f>
        <v>0.54685807069270498</v>
      </c>
      <c r="E25" t="str">
        <f>Procurement_T2!F37</f>
        <v/>
      </c>
      <c r="F25" t="str">
        <f>Procurement_T2!G37</f>
        <v>Not yet mapped</v>
      </c>
      <c r="G25" t="str">
        <f>Procurement_T2!I37</f>
        <v>Not yet mapped</v>
      </c>
      <c r="H25" t="str">
        <f>Procurement_T2!J37</f>
        <v>Scope 3</v>
      </c>
      <c r="I25" s="976" t="str">
        <f t="shared" si="0"/>
        <v/>
      </c>
      <c r="J25" s="976" t="str">
        <f t="shared" si="1"/>
        <v/>
      </c>
      <c r="K25" s="976" t="str">
        <f t="shared" si="2"/>
        <v/>
      </c>
    </row>
    <row r="26" spans="1:11" x14ac:dyDescent="0.35">
      <c r="A26" t="str">
        <f>Procurement_T2!A38</f>
        <v>IT Supplies</v>
      </c>
      <c r="B26">
        <f>Procurement_T2!C38</f>
        <v>0</v>
      </c>
      <c r="C26">
        <f>Procurement_T2!D38</f>
        <v>0</v>
      </c>
      <c r="D26">
        <f>Procurement_T2!E38</f>
        <v>0.54685807069270509</v>
      </c>
      <c r="E26" t="str">
        <f>Procurement_T2!F38</f>
        <v/>
      </c>
      <c r="F26" t="str">
        <f>Procurement_T2!G38</f>
        <v>Not yet mapped</v>
      </c>
      <c r="G26" t="str">
        <f>Procurement_T2!I38</f>
        <v>Not yet mapped</v>
      </c>
      <c r="H26" t="str">
        <f>Procurement_T2!J38</f>
        <v>Scope 3</v>
      </c>
      <c r="I26" s="976" t="str">
        <f t="shared" si="0"/>
        <v/>
      </c>
      <c r="J26" s="976" t="str">
        <f t="shared" si="1"/>
        <v/>
      </c>
      <c r="K26" s="976" t="str">
        <f t="shared" si="2"/>
        <v/>
      </c>
    </row>
    <row r="27" spans="1:11" x14ac:dyDescent="0.35">
      <c r="A27" t="str">
        <f>Procurement_T2!A39</f>
        <v>Journals</v>
      </c>
      <c r="B27">
        <f>Procurement_T2!C39</f>
        <v>0</v>
      </c>
      <c r="C27">
        <f>Procurement_T2!D39</f>
        <v>0</v>
      </c>
      <c r="D27">
        <f>Procurement_T2!E39</f>
        <v>0.13416367172806123</v>
      </c>
      <c r="E27" t="str">
        <f>Procurement_T2!F39</f>
        <v/>
      </c>
      <c r="F27" t="str">
        <f>Procurement_T2!G39</f>
        <v>Not yet mapped</v>
      </c>
      <c r="G27" t="str">
        <f>Procurement_T2!I39</f>
        <v>Not yet mapped</v>
      </c>
      <c r="H27" t="str">
        <f>Procurement_T2!J39</f>
        <v>Scope 3</v>
      </c>
      <c r="I27" s="976" t="str">
        <f t="shared" si="0"/>
        <v/>
      </c>
      <c r="J27" s="976" t="str">
        <f t="shared" si="1"/>
        <v/>
      </c>
      <c r="K27" s="976" t="str">
        <f t="shared" si="2"/>
        <v/>
      </c>
    </row>
    <row r="28" spans="1:11" x14ac:dyDescent="0.35">
      <c r="A28" t="str">
        <f>Procurement_T2!A40</f>
        <v>Kitchen &amp; Laundry Equipment</v>
      </c>
      <c r="B28">
        <f>Procurement_T2!C40</f>
        <v>0</v>
      </c>
      <c r="C28">
        <f>Procurement_T2!D40</f>
        <v>0</v>
      </c>
      <c r="D28">
        <f>Procurement_T2!E40</f>
        <v>0.10863562660304291</v>
      </c>
      <c r="E28" t="str">
        <f>Procurement_T2!F40</f>
        <v/>
      </c>
      <c r="F28" t="str">
        <f>Procurement_T2!G40</f>
        <v>Not yet mapped</v>
      </c>
      <c r="G28" t="str">
        <f>Procurement_T2!I40</f>
        <v>Not yet mapped</v>
      </c>
      <c r="H28" t="str">
        <f>Procurement_T2!J40</f>
        <v>Scope 3</v>
      </c>
      <c r="I28" s="976" t="str">
        <f t="shared" si="0"/>
        <v/>
      </c>
      <c r="J28" s="976" t="str">
        <f t="shared" si="1"/>
        <v/>
      </c>
      <c r="K28" s="976" t="str">
        <f t="shared" si="2"/>
        <v/>
      </c>
    </row>
    <row r="29" spans="1:11" x14ac:dyDescent="0.35">
      <c r="A29" t="str">
        <f>Procurement_T2!A41</f>
        <v>Laboratory Consumables, Chemicals &amp; Supplies</v>
      </c>
      <c r="B29">
        <f>Procurement_T2!C41</f>
        <v>0</v>
      </c>
      <c r="C29">
        <f>Procurement_T2!D41</f>
        <v>0</v>
      </c>
      <c r="D29">
        <f>Procurement_T2!E41</f>
        <v>1.4978540479526079</v>
      </c>
      <c r="E29" t="str">
        <f>Procurement_T2!F41</f>
        <v/>
      </c>
      <c r="F29" t="str">
        <f>Procurement_T2!G41</f>
        <v>Not yet mapped</v>
      </c>
      <c r="G29" t="str">
        <f>Procurement_T2!I41</f>
        <v>Not yet mapped</v>
      </c>
      <c r="H29" t="str">
        <f>Procurement_T2!J41</f>
        <v>Scope 3</v>
      </c>
      <c r="I29" s="976" t="str">
        <f t="shared" si="0"/>
        <v/>
      </c>
      <c r="J29" s="976" t="str">
        <f t="shared" si="1"/>
        <v/>
      </c>
      <c r="K29" s="976" t="str">
        <f t="shared" si="2"/>
        <v/>
      </c>
    </row>
    <row r="30" spans="1:11" x14ac:dyDescent="0.35">
      <c r="A30" t="str">
        <f>Procurement_T2!A42</f>
        <v>Linen Supplies</v>
      </c>
      <c r="B30">
        <f>Procurement_T2!C42</f>
        <v>0</v>
      </c>
      <c r="C30">
        <f>Procurement_T2!D42</f>
        <v>0</v>
      </c>
      <c r="D30">
        <f>Procurement_T2!E42</f>
        <v>0.70473183114838067</v>
      </c>
      <c r="E30" t="str">
        <f>Procurement_T2!F42</f>
        <v/>
      </c>
      <c r="F30" t="str">
        <f>Procurement_T2!G42</f>
        <v>Not yet mapped</v>
      </c>
      <c r="G30" t="str">
        <f>Procurement_T2!I42</f>
        <v>Not yet mapped</v>
      </c>
      <c r="H30" t="str">
        <f>Procurement_T2!J42</f>
        <v>Scope 3</v>
      </c>
      <c r="I30" s="976" t="str">
        <f t="shared" si="0"/>
        <v/>
      </c>
      <c r="J30" s="976" t="str">
        <f t="shared" si="1"/>
        <v/>
      </c>
      <c r="K30" s="976" t="str">
        <f t="shared" si="2"/>
        <v/>
      </c>
    </row>
    <row r="31" spans="1:11" x14ac:dyDescent="0.35">
      <c r="A31" t="str">
        <f>Procurement_T2!A43</f>
        <v>Medical Equipment</v>
      </c>
      <c r="B31">
        <f>Procurement_T2!C43</f>
        <v>0</v>
      </c>
      <c r="C31">
        <f>Procurement_T2!D43</f>
        <v>0</v>
      </c>
      <c r="D31">
        <f>Procurement_T2!E43</f>
        <v>1.497854047952607</v>
      </c>
      <c r="E31" t="str">
        <f>Procurement_T2!F43</f>
        <v/>
      </c>
      <c r="F31" t="str">
        <f>Procurement_T2!G43</f>
        <v>Not yet mapped</v>
      </c>
      <c r="G31" t="str">
        <f>Procurement_T2!I43</f>
        <v>Not yet mapped</v>
      </c>
      <c r="H31" t="str">
        <f>Procurement_T2!J43</f>
        <v>Scope 3</v>
      </c>
      <c r="I31" s="976" t="str">
        <f t="shared" si="0"/>
        <v/>
      </c>
      <c r="J31" s="976" t="str">
        <f t="shared" si="1"/>
        <v/>
      </c>
      <c r="K31" s="976" t="str">
        <f t="shared" si="2"/>
        <v/>
      </c>
    </row>
    <row r="32" spans="1:11" x14ac:dyDescent="0.35">
      <c r="A32" t="str">
        <f>Procurement_T2!A44</f>
        <v>Medical Surgical and Laboratory Equipment</v>
      </c>
      <c r="B32">
        <f>Procurement_T2!C44</f>
        <v>0</v>
      </c>
      <c r="C32">
        <f>Procurement_T2!D44</f>
        <v>0</v>
      </c>
      <c r="D32">
        <f>Procurement_T2!E44</f>
        <v>1.497854047952607</v>
      </c>
      <c r="E32" t="str">
        <f>Procurement_T2!F44</f>
        <v/>
      </c>
      <c r="F32" t="str">
        <f>Procurement_T2!G44</f>
        <v>Not yet mapped</v>
      </c>
      <c r="G32" t="str">
        <f>Procurement_T2!I44</f>
        <v>Not yet mapped</v>
      </c>
      <c r="H32" t="str">
        <f>Procurement_T2!J44</f>
        <v>Scope 3</v>
      </c>
      <c r="I32" s="976" t="str">
        <f t="shared" si="0"/>
        <v/>
      </c>
      <c r="J32" s="976" t="str">
        <f t="shared" si="1"/>
        <v/>
      </c>
      <c r="K32" s="976" t="str">
        <f t="shared" si="2"/>
        <v/>
      </c>
    </row>
    <row r="33" spans="1:11" x14ac:dyDescent="0.35">
      <c r="A33" t="str">
        <f>Procurement_T2!A45</f>
        <v>Medical Surgical Supplies</v>
      </c>
      <c r="B33">
        <f>Procurement_T2!C45</f>
        <v>0</v>
      </c>
      <c r="C33">
        <f>Procurement_T2!D45</f>
        <v>0</v>
      </c>
      <c r="D33">
        <f>Procurement_T2!E45</f>
        <v>1.4978540479526079</v>
      </c>
      <c r="E33" t="str">
        <f>Procurement_T2!F45</f>
        <v/>
      </c>
      <c r="F33" t="str">
        <f>Procurement_T2!G45</f>
        <v>Not yet mapped</v>
      </c>
      <c r="G33" t="str">
        <f>Procurement_T2!I45</f>
        <v>Not yet mapped</v>
      </c>
      <c r="H33" t="str">
        <f>Procurement_T2!J45</f>
        <v>Scope 3</v>
      </c>
      <c r="I33" s="976" t="str">
        <f t="shared" si="0"/>
        <v/>
      </c>
      <c r="J33" s="976" t="str">
        <f t="shared" si="1"/>
        <v/>
      </c>
      <c r="K33" s="976" t="str">
        <f t="shared" si="2"/>
        <v/>
      </c>
    </row>
    <row r="34" spans="1:11" x14ac:dyDescent="0.35">
      <c r="A34" t="str">
        <f>Procurement_T2!A46</f>
        <v>Minor Equipment</v>
      </c>
      <c r="B34">
        <f>Procurement_T2!C46</f>
        <v>0</v>
      </c>
      <c r="C34">
        <f>Procurement_T2!D46</f>
        <v>0</v>
      </c>
      <c r="D34">
        <f>Procurement_T2!E46</f>
        <v>8.3333146631285007E-2</v>
      </c>
      <c r="E34" t="str">
        <f>Procurement_T2!F46</f>
        <v/>
      </c>
      <c r="F34" t="str">
        <f>Procurement_T2!G46</f>
        <v>Not yet mapped</v>
      </c>
      <c r="G34" t="str">
        <f>Procurement_T2!I46</f>
        <v>Not yet mapped</v>
      </c>
      <c r="H34" t="str">
        <f>Procurement_T2!J46</f>
        <v>Scope 3</v>
      </c>
      <c r="I34" s="976" t="str">
        <f t="shared" si="0"/>
        <v/>
      </c>
      <c r="J34" s="976" t="str">
        <f t="shared" si="1"/>
        <v/>
      </c>
      <c r="K34" s="976" t="str">
        <f t="shared" si="2"/>
        <v/>
      </c>
    </row>
    <row r="35" spans="1:11" x14ac:dyDescent="0.35">
      <c r="A35" t="str">
        <f>Procurement_T2!A47</f>
        <v>MRO Supplies</v>
      </c>
      <c r="B35">
        <f>Procurement_T2!C47</f>
        <v>0</v>
      </c>
      <c r="C35">
        <f>Procurement_T2!D47</f>
        <v>0</v>
      </c>
      <c r="D35">
        <f>Procurement_T2!E47</f>
        <v>0.25719083755428507</v>
      </c>
      <c r="E35" t="str">
        <f>Procurement_T2!F47</f>
        <v/>
      </c>
      <c r="F35" t="str">
        <f>Procurement_T2!G47</f>
        <v>Not yet mapped</v>
      </c>
      <c r="G35" t="str">
        <f>Procurement_T2!I47</f>
        <v>Not yet mapped</v>
      </c>
      <c r="H35" t="str">
        <f>Procurement_T2!J47</f>
        <v>Scope 3</v>
      </c>
      <c r="I35" s="976" t="str">
        <f t="shared" si="0"/>
        <v/>
      </c>
      <c r="J35" s="976" t="str">
        <f t="shared" si="1"/>
        <v/>
      </c>
      <c r="K35" s="976" t="str">
        <f t="shared" si="2"/>
        <v/>
      </c>
    </row>
    <row r="36" spans="1:11" x14ac:dyDescent="0.35">
      <c r="A36" t="str">
        <f>Procurement_T2!A48</f>
        <v>Office Equipment</v>
      </c>
      <c r="B36">
        <f>Procurement_T2!C48</f>
        <v>0</v>
      </c>
      <c r="C36">
        <f>Procurement_T2!D48</f>
        <v>0</v>
      </c>
      <c r="D36">
        <f>Procurement_T2!E48</f>
        <v>8.3333146631285007E-2</v>
      </c>
      <c r="E36" t="str">
        <f>Procurement_T2!F48</f>
        <v/>
      </c>
      <c r="F36" t="str">
        <f>Procurement_T2!G48</f>
        <v>Not yet mapped</v>
      </c>
      <c r="G36" t="str">
        <f>Procurement_T2!I48</f>
        <v>Not yet mapped</v>
      </c>
      <c r="H36" t="str">
        <f>Procurement_T2!J48</f>
        <v>Scope 3</v>
      </c>
      <c r="I36" s="976" t="str">
        <f t="shared" si="0"/>
        <v/>
      </c>
      <c r="J36" s="976" t="str">
        <f t="shared" si="1"/>
        <v/>
      </c>
      <c r="K36" s="976" t="str">
        <f t="shared" si="2"/>
        <v/>
      </c>
    </row>
    <row r="37" spans="1:11" x14ac:dyDescent="0.35">
      <c r="A37" t="str">
        <f>Procurement_T2!A49</f>
        <v>Office Refreshments TJS</v>
      </c>
      <c r="B37">
        <f>Procurement_T2!C49</f>
        <v>0</v>
      </c>
      <c r="C37">
        <f>Procurement_T2!D49</f>
        <v>0</v>
      </c>
      <c r="D37">
        <f>Procurement_T2!E49</f>
        <v>0.30018497167065</v>
      </c>
      <c r="E37" t="str">
        <f>Procurement_T2!F49</f>
        <v/>
      </c>
      <c r="F37" t="str">
        <f>Procurement_T2!G49</f>
        <v>Not yet mapped</v>
      </c>
      <c r="G37" t="str">
        <f>Procurement_T2!I49</f>
        <v>Not yet mapped</v>
      </c>
      <c r="H37" t="str">
        <f>Procurement_T2!J49</f>
        <v>Scope 3</v>
      </c>
      <c r="I37" s="976" t="str">
        <f t="shared" si="0"/>
        <v/>
      </c>
      <c r="J37" s="976" t="str">
        <f t="shared" si="1"/>
        <v/>
      </c>
      <c r="K37" s="976" t="str">
        <f t="shared" si="2"/>
        <v/>
      </c>
    </row>
    <row r="38" spans="1:11" x14ac:dyDescent="0.35">
      <c r="A38" t="str">
        <f>Procurement_T2!A50</f>
        <v>Office Stationery Supplies</v>
      </c>
      <c r="B38">
        <f>Procurement_T2!C50</f>
        <v>0</v>
      </c>
      <c r="C38">
        <f>Procurement_T2!D50</f>
        <v>0</v>
      </c>
      <c r="D38">
        <f>Procurement_T2!E50</f>
        <v>0.13416367172806123</v>
      </c>
      <c r="E38" t="str">
        <f>Procurement_T2!F50</f>
        <v/>
      </c>
      <c r="F38" t="str">
        <f>Procurement_T2!G50</f>
        <v>Not yet mapped</v>
      </c>
      <c r="G38" t="str">
        <f>Procurement_T2!I50</f>
        <v>Not yet mapped</v>
      </c>
      <c r="H38" t="str">
        <f>Procurement_T2!J50</f>
        <v>Scope 3</v>
      </c>
      <c r="I38" s="976" t="str">
        <f t="shared" si="0"/>
        <v/>
      </c>
      <c r="J38" s="976" t="str">
        <f t="shared" si="1"/>
        <v/>
      </c>
      <c r="K38" s="976" t="str">
        <f t="shared" si="2"/>
        <v/>
      </c>
    </row>
    <row r="39" spans="1:11" x14ac:dyDescent="0.35">
      <c r="A39" t="str">
        <f>Procurement_T2!A51</f>
        <v>Patient attire/bedding</v>
      </c>
      <c r="B39">
        <f>Procurement_T2!C51</f>
        <v>0</v>
      </c>
      <c r="C39">
        <f>Procurement_T2!D51</f>
        <v>0</v>
      </c>
      <c r="D39">
        <f>Procurement_T2!E51</f>
        <v>0.30112697273812533</v>
      </c>
      <c r="E39" t="str">
        <f>Procurement_T2!F51</f>
        <v/>
      </c>
      <c r="F39" t="str">
        <f>Procurement_T2!G51</f>
        <v>Not yet mapped</v>
      </c>
      <c r="G39" t="str">
        <f>Procurement_T2!I51</f>
        <v>Not yet mapped</v>
      </c>
      <c r="H39" t="str">
        <f>Procurement_T2!J51</f>
        <v>Scope 3</v>
      </c>
      <c r="I39" s="976" t="str">
        <f t="shared" si="0"/>
        <v/>
      </c>
      <c r="J39" s="976" t="str">
        <f t="shared" si="1"/>
        <v/>
      </c>
      <c r="K39" s="976" t="str">
        <f t="shared" si="2"/>
        <v/>
      </c>
    </row>
    <row r="40" spans="1:11" x14ac:dyDescent="0.35">
      <c r="A40" t="str">
        <f>Procurement_T2!A52</f>
        <v>Pharmaceuticals</v>
      </c>
      <c r="B40">
        <f>Procurement_T2!C52</f>
        <v>0</v>
      </c>
      <c r="C40">
        <f>Procurement_T2!D52</f>
        <v>0</v>
      </c>
      <c r="D40">
        <f>Procurement_T2!E52</f>
        <v>1.4978540479526063</v>
      </c>
      <c r="E40" t="str">
        <f>Procurement_T2!F52</f>
        <v/>
      </c>
      <c r="F40" t="str">
        <f>Procurement_T2!G52</f>
        <v>Not yet mapped</v>
      </c>
      <c r="G40" t="str">
        <f>Procurement_T2!I52</f>
        <v>Not yet mapped</v>
      </c>
      <c r="H40" t="str">
        <f>Procurement_T2!J52</f>
        <v>Scope 3</v>
      </c>
      <c r="I40" s="976" t="str">
        <f t="shared" si="0"/>
        <v/>
      </c>
      <c r="J40" s="976" t="str">
        <f t="shared" si="1"/>
        <v/>
      </c>
      <c r="K40" s="976" t="str">
        <f t="shared" si="2"/>
        <v/>
      </c>
    </row>
    <row r="41" spans="1:11" x14ac:dyDescent="0.35">
      <c r="A41" t="str">
        <f>Procurement_T2!A53</f>
        <v>Photography</v>
      </c>
      <c r="B41">
        <f>Procurement_T2!C53</f>
        <v>0</v>
      </c>
      <c r="C41">
        <f>Procurement_T2!D53</f>
        <v>0</v>
      </c>
      <c r="D41">
        <f>Procurement_T2!E53</f>
        <v>0.68274044655825261</v>
      </c>
      <c r="E41" t="str">
        <f>Procurement_T2!F53</f>
        <v/>
      </c>
      <c r="F41" t="str">
        <f>Procurement_T2!G53</f>
        <v>Not yet mapped</v>
      </c>
      <c r="G41" t="str">
        <f>Procurement_T2!I53</f>
        <v>Not yet mapped</v>
      </c>
      <c r="H41" t="str">
        <f>Procurement_T2!J53</f>
        <v>Scope 3</v>
      </c>
      <c r="I41" s="976" t="str">
        <f t="shared" si="0"/>
        <v/>
      </c>
      <c r="J41" s="976" t="str">
        <f t="shared" si="1"/>
        <v/>
      </c>
      <c r="K41" s="976" t="str">
        <f t="shared" si="2"/>
        <v/>
      </c>
    </row>
    <row r="42" spans="1:11" x14ac:dyDescent="0.35">
      <c r="A42" t="str">
        <f>Procurement_T2!A54</f>
        <v>Plant, HVAC, MEP Equip &amp; Auxil</v>
      </c>
      <c r="B42">
        <f>Procurement_T2!C54</f>
        <v>0</v>
      </c>
      <c r="C42">
        <f>Procurement_T2!D54</f>
        <v>0</v>
      </c>
      <c r="D42">
        <f>Procurement_T2!E54</f>
        <v>0.10863562660304291</v>
      </c>
      <c r="E42" t="str">
        <f>Procurement_T2!F54</f>
        <v/>
      </c>
      <c r="F42" t="str">
        <f>Procurement_T2!G54</f>
        <v>Not yet mapped</v>
      </c>
      <c r="G42" t="str">
        <f>Procurement_T2!I54</f>
        <v>Not yet mapped</v>
      </c>
      <c r="H42" t="str">
        <f>Procurement_T2!J54</f>
        <v>Scope 3</v>
      </c>
      <c r="I42" s="976" t="str">
        <f t="shared" si="0"/>
        <v/>
      </c>
      <c r="J42" s="976" t="str">
        <f t="shared" si="1"/>
        <v/>
      </c>
      <c r="K42" s="976" t="str">
        <f t="shared" si="2"/>
        <v/>
      </c>
    </row>
    <row r="43" spans="1:11" x14ac:dyDescent="0.35">
      <c r="A43" t="str">
        <f>Procurement_T2!A55</f>
        <v>Published and Printed Material</v>
      </c>
      <c r="B43">
        <f>Procurement_T2!C55</f>
        <v>0</v>
      </c>
      <c r="C43">
        <f>Procurement_T2!D55</f>
        <v>0</v>
      </c>
      <c r="D43">
        <f>Procurement_T2!E55</f>
        <v>0.13416367172806123</v>
      </c>
      <c r="E43" t="str">
        <f>Procurement_T2!F55</f>
        <v/>
      </c>
      <c r="F43" t="str">
        <f>Procurement_T2!G55</f>
        <v>Not yet mapped</v>
      </c>
      <c r="G43" t="str">
        <f>Procurement_T2!I55</f>
        <v>Not yet mapped</v>
      </c>
      <c r="H43" t="str">
        <f>Procurement_T2!J55</f>
        <v>Scope 3</v>
      </c>
      <c r="I43" s="976" t="str">
        <f t="shared" si="0"/>
        <v/>
      </c>
      <c r="J43" s="976" t="str">
        <f t="shared" si="1"/>
        <v/>
      </c>
      <c r="K43" s="976" t="str">
        <f t="shared" si="2"/>
        <v/>
      </c>
    </row>
    <row r="44" spans="1:11" x14ac:dyDescent="0.35">
      <c r="A44" t="str">
        <f>Procurement_T2!A56</f>
        <v>Repair and Maintenance-Equipment</v>
      </c>
      <c r="B44">
        <f>Procurement_T2!C56</f>
        <v>0</v>
      </c>
      <c r="C44">
        <f>Procurement_T2!D56</f>
        <v>0</v>
      </c>
      <c r="D44">
        <f>Procurement_T2!E56</f>
        <v>0.48818474385433613</v>
      </c>
      <c r="E44" t="str">
        <f>Procurement_T2!F56</f>
        <v/>
      </c>
      <c r="F44" t="str">
        <f>Procurement_T2!G56</f>
        <v>Not yet mapped</v>
      </c>
      <c r="G44" t="str">
        <f>Procurement_T2!I56</f>
        <v>Not yet mapped</v>
      </c>
      <c r="H44" t="str">
        <f>Procurement_T2!J56</f>
        <v>Scope 3</v>
      </c>
      <c r="I44" s="976" t="str">
        <f t="shared" si="0"/>
        <v/>
      </c>
      <c r="J44" s="976" t="str">
        <f t="shared" si="1"/>
        <v/>
      </c>
      <c r="K44" s="976" t="str">
        <f t="shared" si="2"/>
        <v/>
      </c>
    </row>
    <row r="45" spans="1:11" x14ac:dyDescent="0.35">
      <c r="A45" t="str">
        <f>Procurement_T2!A57</f>
        <v>Safety &amp; Fire Protection Supplies</v>
      </c>
      <c r="B45">
        <f>Procurement_T2!C57</f>
        <v>0</v>
      </c>
      <c r="C45">
        <f>Procurement_T2!D57</f>
        <v>0</v>
      </c>
      <c r="D45">
        <f>Procurement_T2!E57</f>
        <v>0.10863562660304291</v>
      </c>
      <c r="E45" t="str">
        <f>Procurement_T2!F57</f>
        <v/>
      </c>
      <c r="F45" t="str">
        <f>Procurement_T2!G57</f>
        <v>Not yet mapped</v>
      </c>
      <c r="G45" t="str">
        <f>Procurement_T2!I57</f>
        <v>Not yet mapped</v>
      </c>
      <c r="H45" t="str">
        <f>Procurement_T2!J57</f>
        <v>Scope 3</v>
      </c>
      <c r="I45" s="976" t="str">
        <f t="shared" si="0"/>
        <v/>
      </c>
      <c r="J45" s="976" t="str">
        <f t="shared" si="1"/>
        <v/>
      </c>
      <c r="K45" s="976" t="str">
        <f t="shared" si="2"/>
        <v/>
      </c>
    </row>
    <row r="46" spans="1:11" x14ac:dyDescent="0.35">
      <c r="A46" t="str">
        <f>Procurement_T2!A58</f>
        <v>Serving Items</v>
      </c>
      <c r="B46">
        <f>Procurement_T2!C58</f>
        <v>0</v>
      </c>
      <c r="C46">
        <f>Procurement_T2!D58</f>
        <v>0</v>
      </c>
      <c r="D46">
        <f>Procurement_T2!E58</f>
        <v>0.8921997563786056</v>
      </c>
      <c r="E46" t="str">
        <f>Procurement_T2!F58</f>
        <v/>
      </c>
      <c r="F46" t="str">
        <f>Procurement_T2!G58</f>
        <v>Not yet mapped</v>
      </c>
      <c r="G46" t="str">
        <f>Procurement_T2!I58</f>
        <v>Not yet mapped</v>
      </c>
      <c r="H46" t="str">
        <f>Procurement_T2!J58</f>
        <v>Scope 3</v>
      </c>
      <c r="I46" s="976" t="str">
        <f t="shared" si="0"/>
        <v/>
      </c>
      <c r="J46" s="976" t="str">
        <f t="shared" si="1"/>
        <v/>
      </c>
      <c r="K46" s="976" t="str">
        <f t="shared" si="2"/>
        <v/>
      </c>
    </row>
    <row r="47" spans="1:11" x14ac:dyDescent="0.35">
      <c r="A47" t="str">
        <f>Procurement_T2!A59</f>
        <v>Spares &amp; Accessories-Equipment</v>
      </c>
      <c r="B47">
        <f>Procurement_T2!C59</f>
        <v>0</v>
      </c>
      <c r="C47">
        <f>Procurement_T2!D59</f>
        <v>0</v>
      </c>
      <c r="D47">
        <f>Procurement_T2!E59</f>
        <v>0.25719083755428507</v>
      </c>
      <c r="E47" t="str">
        <f>Procurement_T2!F59</f>
        <v/>
      </c>
      <c r="F47" t="str">
        <f>Procurement_T2!G59</f>
        <v>Not yet mapped</v>
      </c>
      <c r="G47" t="str">
        <f>Procurement_T2!I59</f>
        <v>Not yet mapped</v>
      </c>
      <c r="H47" t="str">
        <f>Procurement_T2!J59</f>
        <v>Scope 3</v>
      </c>
      <c r="I47" s="976" t="str">
        <f t="shared" si="0"/>
        <v/>
      </c>
      <c r="J47" s="976" t="str">
        <f t="shared" si="1"/>
        <v/>
      </c>
      <c r="K47" s="976" t="str">
        <f t="shared" si="2"/>
        <v/>
      </c>
    </row>
    <row r="48" spans="1:11" x14ac:dyDescent="0.35">
      <c r="A48" t="str">
        <f>Procurement_T2!A60</f>
        <v>Sports &amp; Rehabilitation Equipment</v>
      </c>
      <c r="B48">
        <f>Procurement_T2!C60</f>
        <v>0</v>
      </c>
      <c r="C48">
        <f>Procurement_T2!D60</f>
        <v>0</v>
      </c>
      <c r="D48">
        <f>Procurement_T2!E60</f>
        <v>0.31112347269860907</v>
      </c>
      <c r="E48" t="str">
        <f>Procurement_T2!F60</f>
        <v/>
      </c>
      <c r="F48" t="str">
        <f>Procurement_T2!G60</f>
        <v>Not yet mapped</v>
      </c>
      <c r="G48" t="str">
        <f>Procurement_T2!I60</f>
        <v>Not yet mapped</v>
      </c>
      <c r="H48" t="str">
        <f>Procurement_T2!J60</f>
        <v>Scope 3</v>
      </c>
      <c r="I48" s="976" t="str">
        <f t="shared" si="0"/>
        <v/>
      </c>
      <c r="J48" s="976" t="str">
        <f t="shared" si="1"/>
        <v/>
      </c>
      <c r="K48" s="976" t="str">
        <f t="shared" si="2"/>
        <v/>
      </c>
    </row>
    <row r="49" spans="1:11" x14ac:dyDescent="0.35">
      <c r="A49" t="str">
        <f>Procurement_T2!A61</f>
        <v>Sports Goods</v>
      </c>
      <c r="B49">
        <f>Procurement_T2!C61</f>
        <v>0</v>
      </c>
      <c r="C49">
        <f>Procurement_T2!D61</f>
        <v>0</v>
      </c>
      <c r="D49">
        <f>Procurement_T2!E61</f>
        <v>0.31112347269860907</v>
      </c>
      <c r="E49" t="str">
        <f>Procurement_T2!F61</f>
        <v/>
      </c>
      <c r="F49" t="str">
        <f>Procurement_T2!G61</f>
        <v>Not yet mapped</v>
      </c>
      <c r="G49" t="str">
        <f>Procurement_T2!I61</f>
        <v>Not yet mapped</v>
      </c>
      <c r="H49" t="str">
        <f>Procurement_T2!J61</f>
        <v>Scope 3</v>
      </c>
      <c r="I49" s="976" t="str">
        <f t="shared" si="0"/>
        <v/>
      </c>
      <c r="J49" s="976" t="str">
        <f t="shared" si="1"/>
        <v/>
      </c>
      <c r="K49" s="976" t="str">
        <f t="shared" si="2"/>
        <v/>
      </c>
    </row>
    <row r="50" spans="1:11" x14ac:dyDescent="0.35">
      <c r="A50" t="str">
        <f>Procurement_T2!A62</f>
        <v>Staff Travel (by Air) International + Domestic</v>
      </c>
      <c r="B50">
        <f>Procurement_T2!C62</f>
        <v>0</v>
      </c>
      <c r="C50">
        <f>Procurement_T2!D62</f>
        <v>0</v>
      </c>
      <c r="D50">
        <f>Procurement_T2!E62</f>
        <v>0.64410529332560995</v>
      </c>
      <c r="E50" t="str">
        <f>Procurement_T2!F62</f>
        <v/>
      </c>
      <c r="F50" t="str">
        <f>Procurement_T2!G62</f>
        <v>Not yet mapped</v>
      </c>
      <c r="G50" t="str">
        <f>Procurement_T2!I62</f>
        <v>Not yet mapped</v>
      </c>
      <c r="H50" t="str">
        <f>Procurement_T2!J62</f>
        <v>Scope 3</v>
      </c>
      <c r="I50" s="976" t="str">
        <f t="shared" si="0"/>
        <v/>
      </c>
      <c r="J50" s="976" t="str">
        <f t="shared" si="1"/>
        <v/>
      </c>
      <c r="K50" s="976" t="str">
        <f t="shared" si="2"/>
        <v/>
      </c>
    </row>
    <row r="51" spans="1:11" x14ac:dyDescent="0.35">
      <c r="A51" t="str">
        <f>Procurement_T2!A63</f>
        <v>Surgical Instruments</v>
      </c>
      <c r="B51">
        <f>Procurement_T2!C63</f>
        <v>0</v>
      </c>
      <c r="C51">
        <f>Procurement_T2!D63</f>
        <v>0</v>
      </c>
      <c r="D51">
        <f>Procurement_T2!E63</f>
        <v>1.4978540479526079</v>
      </c>
      <c r="E51" t="str">
        <f>Procurement_T2!F63</f>
        <v/>
      </c>
      <c r="F51" t="str">
        <f>Procurement_T2!G63</f>
        <v>Not yet mapped</v>
      </c>
      <c r="G51" t="str">
        <f>Procurement_T2!I63</f>
        <v>Not yet mapped</v>
      </c>
      <c r="H51" t="str">
        <f>Procurement_T2!J63</f>
        <v>Scope 3</v>
      </c>
      <c r="I51" s="976" t="str">
        <f t="shared" si="0"/>
        <v/>
      </c>
      <c r="J51" s="976" t="str">
        <f t="shared" si="1"/>
        <v/>
      </c>
      <c r="K51" s="976" t="str">
        <f t="shared" si="2"/>
        <v/>
      </c>
    </row>
    <row r="52" spans="1:11" x14ac:dyDescent="0.35">
      <c r="A52" t="str">
        <f>Procurement_T2!A64</f>
        <v>Vehicles</v>
      </c>
      <c r="B52">
        <f>Procurement_T2!C64</f>
        <v>0</v>
      </c>
      <c r="C52">
        <f>Procurement_T2!D64</f>
        <v>0</v>
      </c>
      <c r="D52">
        <f>Procurement_T2!E64</f>
        <v>0.1358104623904865</v>
      </c>
      <c r="E52" t="str">
        <f>Procurement_T2!F64</f>
        <v/>
      </c>
      <c r="F52" t="str">
        <f>Procurement_T2!G64</f>
        <v>Not yet mapped</v>
      </c>
      <c r="G52" t="str">
        <f>Procurement_T2!I64</f>
        <v>Not yet mapped</v>
      </c>
      <c r="H52" t="str">
        <f>Procurement_T2!J64</f>
        <v>Scope 3</v>
      </c>
      <c r="I52" s="976" t="str">
        <f t="shared" si="0"/>
        <v/>
      </c>
      <c r="J52" s="976" t="str">
        <f t="shared" si="1"/>
        <v/>
      </c>
      <c r="K52" s="976" t="str">
        <f t="shared" si="2"/>
        <v/>
      </c>
    </row>
    <row r="53" spans="1:11" x14ac:dyDescent="0.35">
      <c r="A53" t="str">
        <f>Procurement_T2!A65</f>
        <v>Vehicles Fuel</v>
      </c>
      <c r="B53">
        <f>Procurement_T2!C65</f>
        <v>0</v>
      </c>
      <c r="C53">
        <f>Procurement_T2!D65</f>
        <v>0</v>
      </c>
      <c r="D53">
        <f>Procurement_T2!E65</f>
        <v>1.4942817732753952</v>
      </c>
      <c r="E53" t="str">
        <f>Procurement_T2!F65</f>
        <v/>
      </c>
      <c r="F53" t="str">
        <f>Procurement_T2!G65</f>
        <v>Not yet mapped</v>
      </c>
      <c r="G53" t="str">
        <f>Procurement_T2!I65</f>
        <v>Not yet mapped</v>
      </c>
      <c r="H53" t="str">
        <f>Procurement_T2!J65</f>
        <v>Scope 3</v>
      </c>
      <c r="I53" s="976" t="str">
        <f t="shared" si="0"/>
        <v/>
      </c>
      <c r="J53" s="976" t="str">
        <f t="shared" si="1"/>
        <v/>
      </c>
      <c r="K53" s="976" t="str">
        <f t="shared" si="2"/>
        <v/>
      </c>
    </row>
    <row r="54" spans="1:11" x14ac:dyDescent="0.35">
      <c r="A54" t="str">
        <f>Procurement_T2!A66</f>
        <v>Water</v>
      </c>
      <c r="B54">
        <f>Procurement_T2!C66</f>
        <v>0</v>
      </c>
      <c r="C54">
        <f>Procurement_T2!D66</f>
        <v>0</v>
      </c>
      <c r="D54">
        <f>Procurement_T2!E66</f>
        <v>0.25478909394129423</v>
      </c>
      <c r="E54" t="str">
        <f>Procurement_T2!F66</f>
        <v/>
      </c>
      <c r="F54" t="str">
        <f>Procurement_T2!G66</f>
        <v>Not yet mapped</v>
      </c>
      <c r="G54" t="str">
        <f>Procurement_T2!I66</f>
        <v>Not yet mapped</v>
      </c>
      <c r="H54" t="str">
        <f>Procurement_T2!J66</f>
        <v>Scope 3</v>
      </c>
      <c r="I54" s="976" t="str">
        <f t="shared" si="0"/>
        <v/>
      </c>
      <c r="J54" s="976" t="str">
        <f t="shared" si="1"/>
        <v/>
      </c>
      <c r="K54" s="976" t="str">
        <f t="shared" si="2"/>
        <v/>
      </c>
    </row>
    <row r="55" spans="1:11" x14ac:dyDescent="0.35">
      <c r="A55" t="str">
        <f>Procurement_T2!A67</f>
        <v>Vehicle Maintenance-Equipment, Insurance, Rent</v>
      </c>
      <c r="B55">
        <f>Procurement_T2!C67</f>
        <v>0</v>
      </c>
      <c r="C55">
        <f>Procurement_T2!D67</f>
        <v>0</v>
      </c>
      <c r="D55">
        <f>Procurement_T2!E67</f>
        <v>0.38517385368578283</v>
      </c>
      <c r="E55" t="str">
        <f>Procurement_T2!F67</f>
        <v/>
      </c>
      <c r="F55" t="str">
        <f>Procurement_T2!G67</f>
        <v>Not yet mapped</v>
      </c>
      <c r="G55" t="str">
        <f>Procurement_T2!I67</f>
        <v>Not yet mapped</v>
      </c>
      <c r="H55" t="str">
        <f>Procurement_T2!J67</f>
        <v>Scope 3</v>
      </c>
      <c r="I55" s="976" t="str">
        <f t="shared" si="0"/>
        <v/>
      </c>
      <c r="J55" s="976" t="str">
        <f t="shared" si="1"/>
        <v/>
      </c>
      <c r="K55" s="976" t="str">
        <f t="shared" si="2"/>
        <v/>
      </c>
    </row>
    <row r="56" spans="1:11" x14ac:dyDescent="0.35">
      <c r="A56" t="str">
        <f>Procurement_T2!A68</f>
        <v>Refrigerant gases for cooling systems</v>
      </c>
      <c r="B56">
        <f>Procurement_T2!C68</f>
        <v>0</v>
      </c>
      <c r="C56">
        <f>Procurement_T2!D68</f>
        <v>0</v>
      </c>
      <c r="D56">
        <f>Procurement_T2!E68</f>
        <v>0.10863562660304291</v>
      </c>
      <c r="E56" t="str">
        <f>Procurement_T2!F68</f>
        <v/>
      </c>
      <c r="F56" t="str">
        <f>Procurement_T2!G68</f>
        <v>Not yet mapped</v>
      </c>
      <c r="G56" t="str">
        <f>Procurement_T2!I68</f>
        <v>Not yet mapped</v>
      </c>
      <c r="H56" t="str">
        <f>Procurement_T2!J68</f>
        <v>Scope 3</v>
      </c>
      <c r="I56" s="976" t="str">
        <f t="shared" si="0"/>
        <v/>
      </c>
      <c r="J56" s="976" t="str">
        <f t="shared" si="1"/>
        <v/>
      </c>
      <c r="K56" s="976" t="str">
        <f t="shared" si="2"/>
        <v/>
      </c>
    </row>
    <row r="57" spans="1:11" x14ac:dyDescent="0.35">
      <c r="A57" t="str">
        <f>Procurement_T2!A69</f>
        <v>Buidings or land rent/lease</v>
      </c>
      <c r="B57">
        <f>Procurement_T2!C69</f>
        <v>0</v>
      </c>
      <c r="C57">
        <f>Procurement_T2!D69</f>
        <v>0</v>
      </c>
      <c r="D57">
        <f>Procurement_T2!E69</f>
        <v>0.1167304086380265</v>
      </c>
      <c r="E57" t="str">
        <f>Procurement_T2!F69</f>
        <v/>
      </c>
      <c r="F57" t="str">
        <f>Procurement_T2!G69</f>
        <v>Not yet mapped</v>
      </c>
      <c r="G57" t="str">
        <f>Procurement_T2!I69</f>
        <v>Not yet mapped</v>
      </c>
      <c r="H57" t="str">
        <f>Procurement_T2!J69</f>
        <v>Scope 3</v>
      </c>
      <c r="I57" s="976" t="str">
        <f t="shared" si="0"/>
        <v/>
      </c>
      <c r="J57" s="976" t="str">
        <f t="shared" si="1"/>
        <v/>
      </c>
      <c r="K57" s="976" t="str">
        <f t="shared" si="2"/>
        <v/>
      </c>
    </row>
    <row r="58" spans="1:11" x14ac:dyDescent="0.35">
      <c r="A58" t="str">
        <f>Procurement_T2!A70</f>
        <v>Other professional fees</v>
      </c>
      <c r="B58">
        <f>Procurement_T2!C70</f>
        <v>0</v>
      </c>
      <c r="C58">
        <f>Procurement_T2!D70</f>
        <v>0</v>
      </c>
      <c r="D58">
        <f>Procurement_T2!E70</f>
        <v>2.0099892781288</v>
      </c>
      <c r="E58" t="str">
        <f>Procurement_T2!F70</f>
        <v/>
      </c>
      <c r="F58" t="str">
        <f>Procurement_T2!G70</f>
        <v>Not yet mapped</v>
      </c>
      <c r="G58" t="str">
        <f>Procurement_T2!I70</f>
        <v>Not yet mapped</v>
      </c>
      <c r="H58" t="str">
        <f>Procurement_T2!J70</f>
        <v>Scope 3</v>
      </c>
      <c r="I58" s="976" t="str">
        <f t="shared" si="0"/>
        <v/>
      </c>
      <c r="J58" s="976" t="str">
        <f t="shared" si="1"/>
        <v/>
      </c>
      <c r="K58" s="976" t="str">
        <f t="shared" si="2"/>
        <v/>
      </c>
    </row>
    <row r="59" spans="1:11" x14ac:dyDescent="0.35">
      <c r="A59" t="str">
        <f>Procurement_T2!A71</f>
        <v>Insurance</v>
      </c>
      <c r="B59">
        <f>Procurement_T2!C71</f>
        <v>0</v>
      </c>
      <c r="C59">
        <f>Procurement_T2!D71</f>
        <v>0</v>
      </c>
      <c r="D59">
        <f>Procurement_T2!E71</f>
        <v>0.10313242233648336</v>
      </c>
      <c r="E59" t="str">
        <f>Procurement_T2!F71</f>
        <v/>
      </c>
      <c r="F59" t="str">
        <f>Procurement_T2!G71</f>
        <v>Not yet mapped</v>
      </c>
      <c r="G59" t="str">
        <f>Procurement_T2!I71</f>
        <v>Not yet mapped</v>
      </c>
      <c r="H59" t="str">
        <f>Procurement_T2!J71</f>
        <v>Scope 3</v>
      </c>
      <c r="I59" s="976" t="str">
        <f t="shared" si="0"/>
        <v/>
      </c>
      <c r="J59" s="976" t="str">
        <f t="shared" si="1"/>
        <v/>
      </c>
      <c r="K59" s="976" t="str">
        <f t="shared" si="2"/>
        <v/>
      </c>
    </row>
    <row r="60" spans="1:11" x14ac:dyDescent="0.35">
      <c r="A60" t="str">
        <f>Procurement_T2!A72</f>
        <v>Bank fees</v>
      </c>
      <c r="B60">
        <f>Procurement_T2!C72</f>
        <v>0</v>
      </c>
      <c r="C60">
        <f>Procurement_T2!D72</f>
        <v>0</v>
      </c>
      <c r="D60">
        <f>Procurement_T2!E72</f>
        <v>9.8816198943097941E-4</v>
      </c>
      <c r="E60" t="str">
        <f>Procurement_T2!F72</f>
        <v/>
      </c>
      <c r="F60" t="str">
        <f>Procurement_T2!G72</f>
        <v>Not yet mapped</v>
      </c>
      <c r="G60" t="str">
        <f>Procurement_T2!I72</f>
        <v>Not yet mapped</v>
      </c>
      <c r="H60" t="str">
        <f>Procurement_T2!J72</f>
        <v>Scope 3</v>
      </c>
      <c r="I60" s="976" t="str">
        <f t="shared" si="0"/>
        <v/>
      </c>
      <c r="J60" s="976" t="str">
        <f t="shared" si="1"/>
        <v/>
      </c>
      <c r="K60" s="976" t="str">
        <f t="shared" si="2"/>
        <v/>
      </c>
    </row>
    <row r="61" spans="1:11" x14ac:dyDescent="0.35">
      <c r="A61" t="str">
        <f>Procurement_T2!A73</f>
        <v>Construction Contracts (not materials)</v>
      </c>
      <c r="B61">
        <f>Procurement_T2!C73</f>
        <v>0</v>
      </c>
      <c r="C61">
        <f>Procurement_T2!D73</f>
        <v>0</v>
      </c>
      <c r="D61">
        <f>Procurement_T2!E73</f>
        <v>0.26922027624802486</v>
      </c>
      <c r="E61" t="str">
        <f>Procurement_T2!F73</f>
        <v/>
      </c>
      <c r="F61" t="str">
        <f>Procurement_T2!G73</f>
        <v>Not yet mapped</v>
      </c>
      <c r="G61" t="str">
        <f>Procurement_T2!I73</f>
        <v>Not yet mapped</v>
      </c>
      <c r="H61" t="str">
        <f>Procurement_T2!J73</f>
        <v>Scope 3</v>
      </c>
      <c r="I61" s="976" t="str">
        <f t="shared" si="0"/>
        <v/>
      </c>
      <c r="J61" s="976" t="str">
        <f t="shared" si="1"/>
        <v/>
      </c>
      <c r="K61" s="976" t="str">
        <f t="shared" si="2"/>
        <v/>
      </c>
    </row>
    <row r="62" spans="1:11" x14ac:dyDescent="0.35">
      <c r="A62" t="str">
        <f>Procurement_T2!A74</f>
        <v>_</v>
      </c>
      <c r="B62">
        <f>Procurement_T2!C74</f>
        <v>0</v>
      </c>
      <c r="C62">
        <f>Procurement_T2!D74</f>
        <v>0</v>
      </c>
      <c r="D62" t="str">
        <f>Procurement_T2!E74</f>
        <v/>
      </c>
      <c r="E62" t="str">
        <f>Procurement_T2!F74</f>
        <v/>
      </c>
      <c r="F62" t="str">
        <f>Procurement_T2!G74</f>
        <v>Not yet mapped</v>
      </c>
      <c r="G62" t="str">
        <f>Procurement_T2!I74</f>
        <v>Not yet mapped</v>
      </c>
      <c r="H62" t="str">
        <f>Procurement_T2!J74</f>
        <v>Scope 3</v>
      </c>
      <c r="I62" s="976" t="str">
        <f t="shared" si="0"/>
        <v/>
      </c>
      <c r="J62" s="976" t="str">
        <f t="shared" si="1"/>
        <v/>
      </c>
      <c r="K62" s="976" t="str">
        <f t="shared" si="2"/>
        <v/>
      </c>
    </row>
    <row r="63" spans="1:11" x14ac:dyDescent="0.35">
      <c r="A63" t="str">
        <f>Procurement_T2!A75</f>
        <v>_</v>
      </c>
      <c r="B63">
        <f>Procurement_T2!C75</f>
        <v>0</v>
      </c>
      <c r="C63">
        <f>Procurement_T2!D75</f>
        <v>0</v>
      </c>
      <c r="D63" t="str">
        <f>Procurement_T2!E75</f>
        <v/>
      </c>
      <c r="E63" t="str">
        <f>Procurement_T2!F75</f>
        <v/>
      </c>
      <c r="F63" t="str">
        <f>Procurement_T2!G75</f>
        <v>Not yet mapped</v>
      </c>
      <c r="G63" t="str">
        <f>Procurement_T2!I75</f>
        <v>Not yet mapped</v>
      </c>
      <c r="H63" t="str">
        <f>Procurement_T2!J75</f>
        <v>Scope 3</v>
      </c>
      <c r="I63" s="976" t="str">
        <f t="shared" si="0"/>
        <v/>
      </c>
      <c r="J63" s="976" t="str">
        <f t="shared" si="1"/>
        <v/>
      </c>
      <c r="K63" s="976" t="str">
        <f t="shared" si="2"/>
        <v/>
      </c>
    </row>
    <row r="64" spans="1:11" x14ac:dyDescent="0.35">
      <c r="A64" t="str">
        <f>Procurement_T2!A76</f>
        <v>_</v>
      </c>
      <c r="B64">
        <f>Procurement_T2!C76</f>
        <v>0</v>
      </c>
      <c r="C64">
        <f>Procurement_T2!D76</f>
        <v>0</v>
      </c>
      <c r="D64" t="str">
        <f>Procurement_T2!E76</f>
        <v/>
      </c>
      <c r="E64" t="str">
        <f>Procurement_T2!F76</f>
        <v/>
      </c>
      <c r="F64" t="str">
        <f>Procurement_T2!G76</f>
        <v>Not yet mapped</v>
      </c>
      <c r="G64" t="str">
        <f>Procurement_T2!I76</f>
        <v>Not yet mapped</v>
      </c>
      <c r="H64" t="str">
        <f>Procurement_T2!J76</f>
        <v>Scope 3</v>
      </c>
      <c r="I64" s="976" t="str">
        <f t="shared" si="0"/>
        <v/>
      </c>
      <c r="J64" s="976" t="str">
        <f t="shared" si="1"/>
        <v/>
      </c>
      <c r="K64" s="976" t="str">
        <f t="shared" si="2"/>
        <v/>
      </c>
    </row>
    <row r="65" spans="1:11" x14ac:dyDescent="0.35">
      <c r="A65" t="str">
        <f>Procurement_T2!A77</f>
        <v>_</v>
      </c>
      <c r="B65">
        <f>Procurement_T2!C77</f>
        <v>0</v>
      </c>
      <c r="C65">
        <f>Procurement_T2!D77</f>
        <v>0</v>
      </c>
      <c r="D65" t="str">
        <f>Procurement_T2!E77</f>
        <v/>
      </c>
      <c r="E65" t="str">
        <f>Procurement_T2!F77</f>
        <v/>
      </c>
      <c r="F65" t="str">
        <f>Procurement_T2!G77</f>
        <v>Not yet mapped</v>
      </c>
      <c r="G65" t="str">
        <f>Procurement_T2!I77</f>
        <v>Not yet mapped</v>
      </c>
      <c r="H65" t="str">
        <f>Procurement_T2!J77</f>
        <v>Scope 3</v>
      </c>
      <c r="I65" s="976" t="str">
        <f t="shared" si="0"/>
        <v/>
      </c>
      <c r="J65" s="976" t="str">
        <f t="shared" si="1"/>
        <v/>
      </c>
      <c r="K65" s="976" t="str">
        <f t="shared" si="2"/>
        <v/>
      </c>
    </row>
    <row r="66" spans="1:11" x14ac:dyDescent="0.35">
      <c r="A66" t="str">
        <f>Procurement_T2!A78</f>
        <v>_</v>
      </c>
      <c r="B66">
        <f>Procurement_T2!C78</f>
        <v>0</v>
      </c>
      <c r="C66">
        <f>Procurement_T2!D78</f>
        <v>0</v>
      </c>
      <c r="D66" t="str">
        <f>Procurement_T2!E78</f>
        <v/>
      </c>
      <c r="E66" t="str">
        <f>Procurement_T2!F78</f>
        <v/>
      </c>
      <c r="F66" t="str">
        <f>Procurement_T2!G78</f>
        <v>Not yet mapped</v>
      </c>
      <c r="G66" t="str">
        <f>Procurement_T2!I78</f>
        <v>Not yet mapped</v>
      </c>
      <c r="H66" t="str">
        <f>Procurement_T2!J78</f>
        <v>Scope 3</v>
      </c>
      <c r="I66" s="976" t="str">
        <f t="shared" ref="I66:I101" si="3">IF($G66="High",ROW(),"")</f>
        <v/>
      </c>
      <c r="J66" s="976" t="str">
        <f t="shared" ref="J66:J101" si="4">IF($G66="Medium",ROW(),"")</f>
        <v/>
      </c>
      <c r="K66" s="976" t="str">
        <f t="shared" ref="K66:K101" si="5">IF($G66="Low",ROW(),"")</f>
        <v/>
      </c>
    </row>
    <row r="67" spans="1:11" x14ac:dyDescent="0.35">
      <c r="A67" t="str">
        <f>Procurement_T2!A79</f>
        <v>_</v>
      </c>
      <c r="B67">
        <f>Procurement_T2!C79</f>
        <v>0</v>
      </c>
      <c r="C67">
        <f>Procurement_T2!D79</f>
        <v>0</v>
      </c>
      <c r="D67" t="str">
        <f>Procurement_T2!E79</f>
        <v/>
      </c>
      <c r="E67" t="str">
        <f>Procurement_T2!F79</f>
        <v/>
      </c>
      <c r="F67" t="str">
        <f>Procurement_T2!G79</f>
        <v>Not yet mapped</v>
      </c>
      <c r="G67" t="str">
        <f>Procurement_T2!I79</f>
        <v>Not yet mapped</v>
      </c>
      <c r="H67" t="str">
        <f>Procurement_T2!J79</f>
        <v>Scope 3</v>
      </c>
      <c r="I67" s="976" t="str">
        <f t="shared" si="3"/>
        <v/>
      </c>
      <c r="J67" s="976" t="str">
        <f t="shared" si="4"/>
        <v/>
      </c>
      <c r="K67" s="976" t="str">
        <f t="shared" si="5"/>
        <v/>
      </c>
    </row>
    <row r="68" spans="1:11" x14ac:dyDescent="0.35">
      <c r="A68" t="str">
        <f>Procurement_T2!A80</f>
        <v>_</v>
      </c>
      <c r="B68">
        <f>Procurement_T2!C80</f>
        <v>0</v>
      </c>
      <c r="C68">
        <f>Procurement_T2!D80</f>
        <v>0</v>
      </c>
      <c r="D68" t="str">
        <f>Procurement_T2!E80</f>
        <v/>
      </c>
      <c r="E68" t="str">
        <f>Procurement_T2!F80</f>
        <v/>
      </c>
      <c r="F68" t="str">
        <f>Procurement_T2!G80</f>
        <v>Not yet mapped</v>
      </c>
      <c r="G68" t="str">
        <f>Procurement_T2!I80</f>
        <v>Not yet mapped</v>
      </c>
      <c r="H68" t="str">
        <f>Procurement_T2!J80</f>
        <v>Scope 3</v>
      </c>
      <c r="I68" s="976" t="str">
        <f t="shared" si="3"/>
        <v/>
      </c>
      <c r="J68" s="976" t="str">
        <f t="shared" si="4"/>
        <v/>
      </c>
      <c r="K68" s="976" t="str">
        <f t="shared" si="5"/>
        <v/>
      </c>
    </row>
    <row r="69" spans="1:11" x14ac:dyDescent="0.35">
      <c r="A69" t="str">
        <f>Procurement_T2!A81</f>
        <v>_</v>
      </c>
      <c r="B69">
        <f>Procurement_T2!C81</f>
        <v>0</v>
      </c>
      <c r="C69">
        <f>Procurement_T2!D81</f>
        <v>0</v>
      </c>
      <c r="D69" t="str">
        <f>Procurement_T2!E81</f>
        <v/>
      </c>
      <c r="E69" t="str">
        <f>Procurement_T2!F81</f>
        <v/>
      </c>
      <c r="F69" t="str">
        <f>Procurement_T2!G81</f>
        <v>Not yet mapped</v>
      </c>
      <c r="G69" t="str">
        <f>Procurement_T2!I81</f>
        <v>Not yet mapped</v>
      </c>
      <c r="H69" t="str">
        <f>Procurement_T2!J81</f>
        <v>Scope 3</v>
      </c>
      <c r="I69" s="976" t="str">
        <f t="shared" si="3"/>
        <v/>
      </c>
      <c r="J69" s="976" t="str">
        <f t="shared" si="4"/>
        <v/>
      </c>
      <c r="K69" s="976" t="str">
        <f t="shared" si="5"/>
        <v/>
      </c>
    </row>
    <row r="70" spans="1:11" x14ac:dyDescent="0.35">
      <c r="A70" t="str">
        <f>Procurement_T2!A82</f>
        <v>_</v>
      </c>
      <c r="B70">
        <f>Procurement_T2!C82</f>
        <v>0</v>
      </c>
      <c r="C70">
        <f>Procurement_T2!D82</f>
        <v>0</v>
      </c>
      <c r="D70" t="str">
        <f>Procurement_T2!E82</f>
        <v/>
      </c>
      <c r="E70" t="str">
        <f>Procurement_T2!F82</f>
        <v/>
      </c>
      <c r="F70" t="str">
        <f>Procurement_T2!G82</f>
        <v>Not yet mapped</v>
      </c>
      <c r="G70" t="str">
        <f>Procurement_T2!I82</f>
        <v>Not yet mapped</v>
      </c>
      <c r="H70" t="str">
        <f>Procurement_T2!J82</f>
        <v>Scope 3</v>
      </c>
      <c r="I70" s="976" t="str">
        <f t="shared" si="3"/>
        <v/>
      </c>
      <c r="J70" s="976" t="str">
        <f t="shared" si="4"/>
        <v/>
      </c>
      <c r="K70" s="976" t="str">
        <f t="shared" si="5"/>
        <v/>
      </c>
    </row>
    <row r="71" spans="1:11" x14ac:dyDescent="0.35">
      <c r="A71" t="str">
        <f>Procurement_T2!A83</f>
        <v>_</v>
      </c>
      <c r="B71">
        <f>Procurement_T2!C83</f>
        <v>0</v>
      </c>
      <c r="C71">
        <f>Procurement_T2!D83</f>
        <v>0</v>
      </c>
      <c r="D71" t="str">
        <f>Procurement_T2!E83</f>
        <v/>
      </c>
      <c r="E71" t="str">
        <f>Procurement_T2!F83</f>
        <v/>
      </c>
      <c r="F71" t="str">
        <f>Procurement_T2!G83</f>
        <v>Not yet mapped</v>
      </c>
      <c r="G71" t="str">
        <f>Procurement_T2!I83</f>
        <v>Not yet mapped</v>
      </c>
      <c r="H71" t="str">
        <f>Procurement_T2!J83</f>
        <v>Scope 3</v>
      </c>
      <c r="I71" s="976" t="str">
        <f t="shared" si="3"/>
        <v/>
      </c>
      <c r="J71" s="976" t="str">
        <f t="shared" si="4"/>
        <v/>
      </c>
      <c r="K71" s="976" t="str">
        <f t="shared" si="5"/>
        <v/>
      </c>
    </row>
    <row r="72" spans="1:11" x14ac:dyDescent="0.35">
      <c r="A72" t="str">
        <f>Procurement_T2!A84</f>
        <v>_</v>
      </c>
      <c r="B72">
        <f>Procurement_T2!C84</f>
        <v>0</v>
      </c>
      <c r="C72">
        <f>Procurement_T2!D84</f>
        <v>0</v>
      </c>
      <c r="D72" t="str">
        <f>Procurement_T2!E84</f>
        <v/>
      </c>
      <c r="E72" t="str">
        <f>Procurement_T2!F84</f>
        <v/>
      </c>
      <c r="F72" t="str">
        <f>Procurement_T2!G84</f>
        <v>Not yet mapped</v>
      </c>
      <c r="G72" t="str">
        <f>Procurement_T2!I84</f>
        <v>Not yet mapped</v>
      </c>
      <c r="H72" t="str">
        <f>Procurement_T2!J84</f>
        <v>Scope 3</v>
      </c>
      <c r="I72" s="976" t="str">
        <f t="shared" si="3"/>
        <v/>
      </c>
      <c r="J72" s="976" t="str">
        <f t="shared" si="4"/>
        <v/>
      </c>
      <c r="K72" s="976" t="str">
        <f t="shared" si="5"/>
        <v/>
      </c>
    </row>
    <row r="73" spans="1:11" x14ac:dyDescent="0.35">
      <c r="A73" t="str">
        <f>Procurement_T2!A85</f>
        <v>_</v>
      </c>
      <c r="B73">
        <f>Procurement_T2!C85</f>
        <v>0</v>
      </c>
      <c r="C73">
        <f>Procurement_T2!D85</f>
        <v>0</v>
      </c>
      <c r="D73" t="str">
        <f>Procurement_T2!E85</f>
        <v/>
      </c>
      <c r="E73" t="str">
        <f>Procurement_T2!F85</f>
        <v/>
      </c>
      <c r="F73" t="str">
        <f>Procurement_T2!G85</f>
        <v>Not yet mapped</v>
      </c>
      <c r="G73" t="str">
        <f>Procurement_T2!I85</f>
        <v>Not yet mapped</v>
      </c>
      <c r="H73" t="str">
        <f>Procurement_T2!J85</f>
        <v>Scope 3</v>
      </c>
      <c r="I73" s="976" t="str">
        <f t="shared" si="3"/>
        <v/>
      </c>
      <c r="J73" s="976" t="str">
        <f t="shared" si="4"/>
        <v/>
      </c>
      <c r="K73" s="976" t="str">
        <f t="shared" si="5"/>
        <v/>
      </c>
    </row>
    <row r="74" spans="1:11" x14ac:dyDescent="0.35">
      <c r="A74" t="str">
        <f>Procurement_T2!A86</f>
        <v>_</v>
      </c>
      <c r="B74">
        <f>Procurement_T2!C86</f>
        <v>0</v>
      </c>
      <c r="C74">
        <f>Procurement_T2!D86</f>
        <v>0</v>
      </c>
      <c r="D74" t="str">
        <f>Procurement_T2!E86</f>
        <v/>
      </c>
      <c r="E74" t="str">
        <f>Procurement_T2!F86</f>
        <v/>
      </c>
      <c r="F74" t="str">
        <f>Procurement_T2!G86</f>
        <v>Not yet mapped</v>
      </c>
      <c r="G74" t="str">
        <f>Procurement_T2!I86</f>
        <v>Not yet mapped</v>
      </c>
      <c r="H74" t="str">
        <f>Procurement_T2!J86</f>
        <v>Scope 3</v>
      </c>
      <c r="I74" s="976" t="str">
        <f t="shared" si="3"/>
        <v/>
      </c>
      <c r="J74" s="976" t="str">
        <f t="shared" si="4"/>
        <v/>
      </c>
      <c r="K74" s="976" t="str">
        <f t="shared" si="5"/>
        <v/>
      </c>
    </row>
    <row r="75" spans="1:11" x14ac:dyDescent="0.35">
      <c r="A75" t="str">
        <f>Procurement_T2!A87</f>
        <v>_</v>
      </c>
      <c r="B75">
        <f>Procurement_T2!C87</f>
        <v>0</v>
      </c>
      <c r="C75">
        <f>Procurement_T2!D87</f>
        <v>0</v>
      </c>
      <c r="D75" t="str">
        <f>Procurement_T2!E87</f>
        <v/>
      </c>
      <c r="E75" t="str">
        <f>Procurement_T2!F87</f>
        <v/>
      </c>
      <c r="F75" t="str">
        <f>Procurement_T2!G87</f>
        <v>Not yet mapped</v>
      </c>
      <c r="G75" t="str">
        <f>Procurement_T2!I87</f>
        <v>Not yet mapped</v>
      </c>
      <c r="H75" t="str">
        <f>Procurement_T2!J87</f>
        <v>Scope 3</v>
      </c>
      <c r="I75" s="976" t="str">
        <f t="shared" si="3"/>
        <v/>
      </c>
      <c r="J75" s="976" t="str">
        <f t="shared" si="4"/>
        <v/>
      </c>
      <c r="K75" s="976" t="str">
        <f t="shared" si="5"/>
        <v/>
      </c>
    </row>
    <row r="76" spans="1:11" x14ac:dyDescent="0.35">
      <c r="A76" t="str">
        <f>Procurement_T2!A88</f>
        <v>_</v>
      </c>
      <c r="B76">
        <f>Procurement_T2!C88</f>
        <v>0</v>
      </c>
      <c r="C76">
        <f>Procurement_T2!D88</f>
        <v>0</v>
      </c>
      <c r="D76" t="str">
        <f>Procurement_T2!E88</f>
        <v/>
      </c>
      <c r="E76" t="str">
        <f>Procurement_T2!F88</f>
        <v/>
      </c>
      <c r="F76" t="str">
        <f>Procurement_T2!G88</f>
        <v>Not yet mapped</v>
      </c>
      <c r="G76" t="str">
        <f>Procurement_T2!I88</f>
        <v>Not yet mapped</v>
      </c>
      <c r="H76" t="str">
        <f>Procurement_T2!J88</f>
        <v>Scope 3</v>
      </c>
      <c r="I76" s="976" t="str">
        <f t="shared" si="3"/>
        <v/>
      </c>
      <c r="J76" s="976" t="str">
        <f t="shared" si="4"/>
        <v/>
      </c>
      <c r="K76" s="976" t="str">
        <f t="shared" si="5"/>
        <v/>
      </c>
    </row>
    <row r="77" spans="1:11" x14ac:dyDescent="0.35">
      <c r="A77" t="str">
        <f>Procurement_T2!A89</f>
        <v>_</v>
      </c>
      <c r="B77">
        <f>Procurement_T2!C89</f>
        <v>0</v>
      </c>
      <c r="C77">
        <f>Procurement_T2!D89</f>
        <v>0</v>
      </c>
      <c r="D77" t="str">
        <f>Procurement_T2!E89</f>
        <v/>
      </c>
      <c r="E77" t="str">
        <f>Procurement_T2!F89</f>
        <v/>
      </c>
      <c r="F77" t="str">
        <f>Procurement_T2!G89</f>
        <v>Not yet mapped</v>
      </c>
      <c r="G77" t="str">
        <f>Procurement_T2!I89</f>
        <v>Not yet mapped</v>
      </c>
      <c r="H77" t="str">
        <f>Procurement_T2!J89</f>
        <v>Scope 3</v>
      </c>
      <c r="I77" s="976" t="str">
        <f t="shared" si="3"/>
        <v/>
      </c>
      <c r="J77" s="976" t="str">
        <f t="shared" si="4"/>
        <v/>
      </c>
      <c r="K77" s="976" t="str">
        <f t="shared" si="5"/>
        <v/>
      </c>
    </row>
    <row r="78" spans="1:11" x14ac:dyDescent="0.35">
      <c r="A78" t="str">
        <f>Procurement_T2!A90</f>
        <v>_</v>
      </c>
      <c r="B78">
        <f>Procurement_T2!C90</f>
        <v>0</v>
      </c>
      <c r="C78">
        <f>Procurement_T2!D90</f>
        <v>0</v>
      </c>
      <c r="D78" t="str">
        <f>Procurement_T2!E90</f>
        <v/>
      </c>
      <c r="E78" t="str">
        <f>Procurement_T2!F90</f>
        <v/>
      </c>
      <c r="F78" t="str">
        <f>Procurement_T2!G90</f>
        <v>Not yet mapped</v>
      </c>
      <c r="G78" t="str">
        <f>Procurement_T2!I90</f>
        <v>Not yet mapped</v>
      </c>
      <c r="H78" t="str">
        <f>Procurement_T2!J90</f>
        <v>Scope 3</v>
      </c>
      <c r="I78" s="976" t="str">
        <f t="shared" si="3"/>
        <v/>
      </c>
      <c r="J78" s="976" t="str">
        <f t="shared" si="4"/>
        <v/>
      </c>
      <c r="K78" s="976" t="str">
        <f t="shared" si="5"/>
        <v/>
      </c>
    </row>
    <row r="79" spans="1:11" x14ac:dyDescent="0.35">
      <c r="A79" t="str">
        <f>Procurement_T2!A91</f>
        <v>_</v>
      </c>
      <c r="B79">
        <f>Procurement_T2!C91</f>
        <v>0</v>
      </c>
      <c r="C79">
        <f>Procurement_T2!D91</f>
        <v>0</v>
      </c>
      <c r="D79" t="str">
        <f>Procurement_T2!E91</f>
        <v/>
      </c>
      <c r="E79" t="str">
        <f>Procurement_T2!F91</f>
        <v/>
      </c>
      <c r="F79" t="str">
        <f>Procurement_T2!G91</f>
        <v>Not yet mapped</v>
      </c>
      <c r="G79" t="str">
        <f>Procurement_T2!I91</f>
        <v>Not yet mapped</v>
      </c>
      <c r="H79" t="str">
        <f>Procurement_T2!J91</f>
        <v>Scope 3</v>
      </c>
      <c r="I79" s="976" t="str">
        <f t="shared" si="3"/>
        <v/>
      </c>
      <c r="J79" s="976" t="str">
        <f t="shared" si="4"/>
        <v/>
      </c>
      <c r="K79" s="976" t="str">
        <f t="shared" si="5"/>
        <v/>
      </c>
    </row>
    <row r="80" spans="1:11" x14ac:dyDescent="0.35">
      <c r="A80" t="str">
        <f>Procurement_T2!A92</f>
        <v>_</v>
      </c>
      <c r="B80">
        <f>Procurement_T2!C92</f>
        <v>0</v>
      </c>
      <c r="C80">
        <f>Procurement_T2!D92</f>
        <v>0</v>
      </c>
      <c r="D80" t="str">
        <f>Procurement_T2!E92</f>
        <v/>
      </c>
      <c r="E80" t="str">
        <f>Procurement_T2!F92</f>
        <v/>
      </c>
      <c r="F80" t="str">
        <f>Procurement_T2!G92</f>
        <v>Not yet mapped</v>
      </c>
      <c r="G80" t="str">
        <f>Procurement_T2!I92</f>
        <v>Not yet mapped</v>
      </c>
      <c r="H80" t="str">
        <f>Procurement_T2!J92</f>
        <v>Scope 3</v>
      </c>
      <c r="I80" s="976" t="str">
        <f t="shared" si="3"/>
        <v/>
      </c>
      <c r="J80" s="976" t="str">
        <f t="shared" si="4"/>
        <v/>
      </c>
      <c r="K80" s="976" t="str">
        <f t="shared" si="5"/>
        <v/>
      </c>
    </row>
    <row r="81" spans="1:11" x14ac:dyDescent="0.35">
      <c r="A81" t="str">
        <f>Procurement_T2!A93</f>
        <v>_</v>
      </c>
      <c r="B81">
        <f>Procurement_T2!C93</f>
        <v>0</v>
      </c>
      <c r="C81">
        <f>Procurement_T2!D93</f>
        <v>0</v>
      </c>
      <c r="D81" t="str">
        <f>Procurement_T2!E93</f>
        <v/>
      </c>
      <c r="E81" t="str">
        <f>Procurement_T2!F93</f>
        <v/>
      </c>
      <c r="F81" t="str">
        <f>Procurement_T2!G93</f>
        <v>Not yet mapped</v>
      </c>
      <c r="G81" t="str">
        <f>Procurement_T2!I93</f>
        <v>Not yet mapped</v>
      </c>
      <c r="H81" t="str">
        <f>Procurement_T2!J93</f>
        <v>Scope 3</v>
      </c>
      <c r="I81" s="976" t="str">
        <f t="shared" si="3"/>
        <v/>
      </c>
      <c r="J81" s="976" t="str">
        <f t="shared" si="4"/>
        <v/>
      </c>
      <c r="K81" s="976" t="str">
        <f t="shared" si="5"/>
        <v/>
      </c>
    </row>
    <row r="82" spans="1:11" x14ac:dyDescent="0.35">
      <c r="A82" t="str">
        <f>Procurement_T2!A94</f>
        <v>_</v>
      </c>
      <c r="B82">
        <f>Procurement_T2!C94</f>
        <v>0</v>
      </c>
      <c r="C82">
        <f>Procurement_T2!D94</f>
        <v>0</v>
      </c>
      <c r="D82" t="str">
        <f>Procurement_T2!E94</f>
        <v/>
      </c>
      <c r="E82" t="str">
        <f>Procurement_T2!F94</f>
        <v/>
      </c>
      <c r="F82" t="str">
        <f>Procurement_T2!G94</f>
        <v>Not yet mapped</v>
      </c>
      <c r="G82" t="str">
        <f>Procurement_T2!I94</f>
        <v>Not yet mapped</v>
      </c>
      <c r="H82" t="str">
        <f>Procurement_T2!J94</f>
        <v>Scope 3</v>
      </c>
      <c r="I82" s="976" t="str">
        <f t="shared" si="3"/>
        <v/>
      </c>
      <c r="J82" s="976" t="str">
        <f t="shared" si="4"/>
        <v/>
      </c>
      <c r="K82" s="976" t="str">
        <f t="shared" si="5"/>
        <v/>
      </c>
    </row>
    <row r="83" spans="1:11" x14ac:dyDescent="0.35">
      <c r="A83" t="str">
        <f>Procurement_T2!A95</f>
        <v>_</v>
      </c>
      <c r="B83">
        <f>Procurement_T2!C95</f>
        <v>0</v>
      </c>
      <c r="C83">
        <f>Procurement_T2!D95</f>
        <v>0</v>
      </c>
      <c r="D83" t="str">
        <f>Procurement_T2!E95</f>
        <v/>
      </c>
      <c r="E83" t="str">
        <f>Procurement_T2!F95</f>
        <v/>
      </c>
      <c r="F83" t="str">
        <f>Procurement_T2!G95</f>
        <v>Not yet mapped</v>
      </c>
      <c r="G83" t="str">
        <f>Procurement_T2!I95</f>
        <v>Not yet mapped</v>
      </c>
      <c r="H83" t="str">
        <f>Procurement_T2!J95</f>
        <v>Scope 3</v>
      </c>
      <c r="I83" s="976" t="str">
        <f t="shared" si="3"/>
        <v/>
      </c>
      <c r="J83" s="976" t="str">
        <f t="shared" si="4"/>
        <v/>
      </c>
      <c r="K83" s="976" t="str">
        <f t="shared" si="5"/>
        <v/>
      </c>
    </row>
    <row r="84" spans="1:11" x14ac:dyDescent="0.35">
      <c r="A84" t="str">
        <f>Procurement_T2!A96</f>
        <v>_</v>
      </c>
      <c r="B84">
        <f>Procurement_T2!C96</f>
        <v>0</v>
      </c>
      <c r="C84">
        <f>Procurement_T2!D96</f>
        <v>0</v>
      </c>
      <c r="D84" t="str">
        <f>Procurement_T2!E96</f>
        <v/>
      </c>
      <c r="E84" t="str">
        <f>Procurement_T2!F96</f>
        <v/>
      </c>
      <c r="F84" t="str">
        <f>Procurement_T2!G96</f>
        <v>Not yet mapped</v>
      </c>
      <c r="G84" t="str">
        <f>Procurement_T2!I96</f>
        <v>Not yet mapped</v>
      </c>
      <c r="H84" t="str">
        <f>Procurement_T2!J96</f>
        <v>Scope 3</v>
      </c>
      <c r="I84" s="976" t="str">
        <f t="shared" si="3"/>
        <v/>
      </c>
      <c r="J84" s="976" t="str">
        <f t="shared" si="4"/>
        <v/>
      </c>
      <c r="K84" s="976" t="str">
        <f t="shared" si="5"/>
        <v/>
      </c>
    </row>
    <row r="85" spans="1:11" x14ac:dyDescent="0.35">
      <c r="A85" t="str">
        <f>Procurement_T2!A97</f>
        <v>_</v>
      </c>
      <c r="B85">
        <f>Procurement_T2!C97</f>
        <v>0</v>
      </c>
      <c r="C85">
        <f>Procurement_T2!D97</f>
        <v>0</v>
      </c>
      <c r="D85" t="str">
        <f>Procurement_T2!E97</f>
        <v/>
      </c>
      <c r="E85" t="str">
        <f>Procurement_T2!F97</f>
        <v/>
      </c>
      <c r="F85" t="str">
        <f>Procurement_T2!G97</f>
        <v>Not yet mapped</v>
      </c>
      <c r="G85" t="str">
        <f>Procurement_T2!I97</f>
        <v>Not yet mapped</v>
      </c>
      <c r="H85" t="str">
        <f>Procurement_T2!J97</f>
        <v>Scope 3</v>
      </c>
      <c r="I85" s="976" t="str">
        <f t="shared" si="3"/>
        <v/>
      </c>
      <c r="J85" s="976" t="str">
        <f t="shared" si="4"/>
        <v/>
      </c>
      <c r="K85" s="976" t="str">
        <f t="shared" si="5"/>
        <v/>
      </c>
    </row>
    <row r="86" spans="1:11" x14ac:dyDescent="0.35">
      <c r="A86" t="str">
        <f>Procurement_T2!A98</f>
        <v>_</v>
      </c>
      <c r="B86">
        <f>Procurement_T2!C98</f>
        <v>0</v>
      </c>
      <c r="C86">
        <f>Procurement_T2!D98</f>
        <v>0</v>
      </c>
      <c r="D86" t="str">
        <f>Procurement_T2!E98</f>
        <v/>
      </c>
      <c r="E86" t="str">
        <f>Procurement_T2!F98</f>
        <v/>
      </c>
      <c r="F86" t="str">
        <f>Procurement_T2!G98</f>
        <v>Not yet mapped</v>
      </c>
      <c r="G86" t="str">
        <f>Procurement_T2!I98</f>
        <v>Not yet mapped</v>
      </c>
      <c r="H86" t="str">
        <f>Procurement_T2!J98</f>
        <v>Scope 3</v>
      </c>
      <c r="I86" s="976" t="str">
        <f t="shared" si="3"/>
        <v/>
      </c>
      <c r="J86" s="976" t="str">
        <f t="shared" si="4"/>
        <v/>
      </c>
      <c r="K86" s="976" t="str">
        <f t="shared" si="5"/>
        <v/>
      </c>
    </row>
    <row r="87" spans="1:11" x14ac:dyDescent="0.35">
      <c r="A87" t="str">
        <f>Procurement_T2!A99</f>
        <v>_</v>
      </c>
      <c r="B87">
        <f>Procurement_T2!C99</f>
        <v>0</v>
      </c>
      <c r="C87">
        <f>Procurement_T2!D99</f>
        <v>0</v>
      </c>
      <c r="D87" t="str">
        <f>Procurement_T2!E99</f>
        <v/>
      </c>
      <c r="E87" t="str">
        <f>Procurement_T2!F99</f>
        <v/>
      </c>
      <c r="F87" t="str">
        <f>Procurement_T2!G99</f>
        <v>Not yet mapped</v>
      </c>
      <c r="G87" t="str">
        <f>Procurement_T2!I99</f>
        <v>Not yet mapped</v>
      </c>
      <c r="H87" t="str">
        <f>Procurement_T2!J99</f>
        <v>Scope 3</v>
      </c>
      <c r="I87" s="976" t="str">
        <f t="shared" si="3"/>
        <v/>
      </c>
      <c r="J87" s="976" t="str">
        <f t="shared" si="4"/>
        <v/>
      </c>
      <c r="K87" s="976" t="str">
        <f t="shared" si="5"/>
        <v/>
      </c>
    </row>
    <row r="88" spans="1:11" x14ac:dyDescent="0.35">
      <c r="A88" t="str">
        <f>Procurement_T2!A100</f>
        <v>_</v>
      </c>
      <c r="B88">
        <f>Procurement_T2!C100</f>
        <v>0</v>
      </c>
      <c r="C88">
        <f>Procurement_T2!D100</f>
        <v>0</v>
      </c>
      <c r="D88" t="str">
        <f>Procurement_T2!E100</f>
        <v/>
      </c>
      <c r="E88" t="str">
        <f>Procurement_T2!F100</f>
        <v/>
      </c>
      <c r="F88" t="str">
        <f>Procurement_T2!G100</f>
        <v>Not yet mapped</v>
      </c>
      <c r="G88" t="str">
        <f>Procurement_T2!I100</f>
        <v>Not yet mapped</v>
      </c>
      <c r="H88" t="str">
        <f>Procurement_T2!J100</f>
        <v>Scope 3</v>
      </c>
      <c r="I88" s="976" t="str">
        <f t="shared" si="3"/>
        <v/>
      </c>
      <c r="J88" s="976" t="str">
        <f t="shared" si="4"/>
        <v/>
      </c>
      <c r="K88" s="976" t="str">
        <f t="shared" si="5"/>
        <v/>
      </c>
    </row>
    <row r="89" spans="1:11" x14ac:dyDescent="0.35">
      <c r="A89" t="str">
        <f>Procurement_T2!A101</f>
        <v>_</v>
      </c>
      <c r="B89">
        <f>Procurement_T2!C101</f>
        <v>0</v>
      </c>
      <c r="C89">
        <f>Procurement_T2!D101</f>
        <v>0</v>
      </c>
      <c r="D89" t="str">
        <f>Procurement_T2!E101</f>
        <v/>
      </c>
      <c r="E89" t="str">
        <f>Procurement_T2!F101</f>
        <v/>
      </c>
      <c r="F89" t="str">
        <f>Procurement_T2!G101</f>
        <v>Not yet mapped</v>
      </c>
      <c r="G89" t="str">
        <f>Procurement_T2!I101</f>
        <v>Not yet mapped</v>
      </c>
      <c r="H89" t="str">
        <f>Procurement_T2!J101</f>
        <v>Scope 3</v>
      </c>
      <c r="I89" s="976" t="str">
        <f t="shared" si="3"/>
        <v/>
      </c>
      <c r="J89" s="976" t="str">
        <f t="shared" si="4"/>
        <v/>
      </c>
      <c r="K89" s="976" t="str">
        <f t="shared" si="5"/>
        <v/>
      </c>
    </row>
    <row r="90" spans="1:11" x14ac:dyDescent="0.35">
      <c r="A90" t="str">
        <f>Procurement_T2!A102</f>
        <v>_</v>
      </c>
      <c r="B90">
        <f>Procurement_T2!C102</f>
        <v>0</v>
      </c>
      <c r="C90">
        <f>Procurement_T2!D102</f>
        <v>0</v>
      </c>
      <c r="D90" t="str">
        <f>Procurement_T2!E102</f>
        <v/>
      </c>
      <c r="E90" t="str">
        <f>Procurement_T2!F102</f>
        <v/>
      </c>
      <c r="F90" t="str">
        <f>Procurement_T2!G102</f>
        <v>Not yet mapped</v>
      </c>
      <c r="G90" t="str">
        <f>Procurement_T2!I102</f>
        <v>Not yet mapped</v>
      </c>
      <c r="H90" t="str">
        <f>Procurement_T2!J102</f>
        <v>Scope 3</v>
      </c>
      <c r="I90" s="976" t="str">
        <f t="shared" si="3"/>
        <v/>
      </c>
      <c r="J90" s="976" t="str">
        <f t="shared" si="4"/>
        <v/>
      </c>
      <c r="K90" s="976" t="str">
        <f t="shared" si="5"/>
        <v/>
      </c>
    </row>
    <row r="91" spans="1:11" x14ac:dyDescent="0.35">
      <c r="A91" t="str">
        <f>Procurement_T2!A103</f>
        <v>_</v>
      </c>
      <c r="B91">
        <f>Procurement_T2!C103</f>
        <v>0</v>
      </c>
      <c r="C91">
        <f>Procurement_T2!D103</f>
        <v>0</v>
      </c>
      <c r="D91" t="str">
        <f>Procurement_T2!E103</f>
        <v/>
      </c>
      <c r="E91" t="str">
        <f>Procurement_T2!F103</f>
        <v/>
      </c>
      <c r="F91" t="str">
        <f>Procurement_T2!G103</f>
        <v>Not yet mapped</v>
      </c>
      <c r="G91" t="str">
        <f>Procurement_T2!I103</f>
        <v>Not yet mapped</v>
      </c>
      <c r="H91" t="str">
        <f>Procurement_T2!J103</f>
        <v>Scope 3</v>
      </c>
      <c r="I91" s="976" t="str">
        <f t="shared" si="3"/>
        <v/>
      </c>
      <c r="J91" s="976" t="str">
        <f t="shared" si="4"/>
        <v/>
      </c>
      <c r="K91" s="976" t="str">
        <f t="shared" si="5"/>
        <v/>
      </c>
    </row>
    <row r="92" spans="1:11" x14ac:dyDescent="0.35">
      <c r="A92" t="str">
        <f>Procurement_T2!A104</f>
        <v>_</v>
      </c>
      <c r="B92">
        <f>Procurement_T2!C104</f>
        <v>0</v>
      </c>
      <c r="C92">
        <f>Procurement_T2!D104</f>
        <v>0</v>
      </c>
      <c r="D92" t="str">
        <f>Procurement_T2!E104</f>
        <v/>
      </c>
      <c r="E92" t="str">
        <f>Procurement_T2!F104</f>
        <v/>
      </c>
      <c r="F92" t="str">
        <f>Procurement_T2!G104</f>
        <v>Not yet mapped</v>
      </c>
      <c r="G92" t="str">
        <f>Procurement_T2!I104</f>
        <v>Not yet mapped</v>
      </c>
      <c r="H92" t="str">
        <f>Procurement_T2!J104</f>
        <v>Scope 3</v>
      </c>
      <c r="I92" s="976" t="str">
        <f t="shared" si="3"/>
        <v/>
      </c>
      <c r="J92" s="976" t="str">
        <f t="shared" si="4"/>
        <v/>
      </c>
      <c r="K92" s="976" t="str">
        <f t="shared" si="5"/>
        <v/>
      </c>
    </row>
    <row r="93" spans="1:11" x14ac:dyDescent="0.35">
      <c r="A93" t="str">
        <f>Procurement_T2!A105</f>
        <v>_</v>
      </c>
      <c r="B93">
        <f>Procurement_T2!C105</f>
        <v>0</v>
      </c>
      <c r="C93">
        <f>Procurement_T2!D105</f>
        <v>0</v>
      </c>
      <c r="D93" t="str">
        <f>Procurement_T2!E105</f>
        <v/>
      </c>
      <c r="E93" t="str">
        <f>Procurement_T2!F105</f>
        <v/>
      </c>
      <c r="F93" t="str">
        <f>Procurement_T2!G105</f>
        <v>Not yet mapped</v>
      </c>
      <c r="G93" t="str">
        <f>Procurement_T2!I105</f>
        <v>Not yet mapped</v>
      </c>
      <c r="H93" t="str">
        <f>Procurement_T2!J105</f>
        <v>Scope 3</v>
      </c>
      <c r="I93" s="976" t="str">
        <f t="shared" si="3"/>
        <v/>
      </c>
      <c r="J93" s="976" t="str">
        <f t="shared" si="4"/>
        <v/>
      </c>
      <c r="K93" s="976" t="str">
        <f t="shared" si="5"/>
        <v/>
      </c>
    </row>
    <row r="94" spans="1:11" x14ac:dyDescent="0.35">
      <c r="A94" t="str">
        <f>Procurement_T2!A106</f>
        <v>_</v>
      </c>
      <c r="B94">
        <f>Procurement_T2!C106</f>
        <v>0</v>
      </c>
      <c r="C94">
        <f>Procurement_T2!D106</f>
        <v>0</v>
      </c>
      <c r="D94" t="str">
        <f>Procurement_T2!E106</f>
        <v/>
      </c>
      <c r="E94" t="str">
        <f>Procurement_T2!F106</f>
        <v/>
      </c>
      <c r="F94" t="str">
        <f>Procurement_T2!G106</f>
        <v>Not yet mapped</v>
      </c>
      <c r="G94" t="str">
        <f>Procurement_T2!I106</f>
        <v>Not yet mapped</v>
      </c>
      <c r="H94" t="str">
        <f>Procurement_T2!J106</f>
        <v>Scope 3</v>
      </c>
      <c r="I94" s="976" t="str">
        <f t="shared" si="3"/>
        <v/>
      </c>
      <c r="J94" s="976" t="str">
        <f t="shared" si="4"/>
        <v/>
      </c>
      <c r="K94" s="976" t="str">
        <f t="shared" si="5"/>
        <v/>
      </c>
    </row>
    <row r="95" spans="1:11" x14ac:dyDescent="0.35">
      <c r="A95" t="str">
        <f>Procurement_T2!A107</f>
        <v>_</v>
      </c>
      <c r="B95">
        <f>Procurement_T2!C107</f>
        <v>0</v>
      </c>
      <c r="C95">
        <f>Procurement_T2!D107</f>
        <v>0</v>
      </c>
      <c r="D95" t="str">
        <f>Procurement_T2!E107</f>
        <v/>
      </c>
      <c r="E95" t="str">
        <f>Procurement_T2!F107</f>
        <v/>
      </c>
      <c r="F95" t="str">
        <f>Procurement_T2!G107</f>
        <v>Not yet mapped</v>
      </c>
      <c r="G95" t="str">
        <f>Procurement_T2!I107</f>
        <v>Not yet mapped</v>
      </c>
      <c r="H95" t="str">
        <f>Procurement_T2!J107</f>
        <v>Scope 3</v>
      </c>
      <c r="I95" s="976" t="str">
        <f t="shared" si="3"/>
        <v/>
      </c>
      <c r="J95" s="976" t="str">
        <f t="shared" si="4"/>
        <v/>
      </c>
      <c r="K95" s="976" t="str">
        <f t="shared" si="5"/>
        <v/>
      </c>
    </row>
    <row r="96" spans="1:11" x14ac:dyDescent="0.35">
      <c r="A96" t="str">
        <f>Procurement_T2!A108</f>
        <v>_</v>
      </c>
      <c r="B96">
        <f>Procurement_T2!C108</f>
        <v>0</v>
      </c>
      <c r="C96">
        <f>Procurement_T2!D108</f>
        <v>0</v>
      </c>
      <c r="D96" t="str">
        <f>Procurement_T2!E108</f>
        <v/>
      </c>
      <c r="E96" t="str">
        <f>Procurement_T2!F108</f>
        <v/>
      </c>
      <c r="F96" t="str">
        <f>Procurement_T2!G108</f>
        <v>Not yet mapped</v>
      </c>
      <c r="G96" t="str">
        <f>Procurement_T2!I108</f>
        <v>Not yet mapped</v>
      </c>
      <c r="H96" t="str">
        <f>Procurement_T2!J108</f>
        <v>Scope 3</v>
      </c>
      <c r="I96" s="976" t="str">
        <f t="shared" si="3"/>
        <v/>
      </c>
      <c r="J96" s="976" t="str">
        <f t="shared" si="4"/>
        <v/>
      </c>
      <c r="K96" s="976" t="str">
        <f t="shared" si="5"/>
        <v/>
      </c>
    </row>
    <row r="97" spans="1:11" x14ac:dyDescent="0.35">
      <c r="A97" t="str">
        <f>Procurement_T2!A109</f>
        <v>_</v>
      </c>
      <c r="B97">
        <f>Procurement_T2!C109</f>
        <v>0</v>
      </c>
      <c r="C97">
        <f>Procurement_T2!D109</f>
        <v>0</v>
      </c>
      <c r="D97" t="str">
        <f>Procurement_T2!E109</f>
        <v/>
      </c>
      <c r="E97" t="str">
        <f>Procurement_T2!F109</f>
        <v/>
      </c>
      <c r="F97" t="str">
        <f>Procurement_T2!G109</f>
        <v>Not yet mapped</v>
      </c>
      <c r="G97" t="str">
        <f>Procurement_T2!I109</f>
        <v>Not yet mapped</v>
      </c>
      <c r="H97" t="str">
        <f>Procurement_T2!J109</f>
        <v>Scope 3</v>
      </c>
      <c r="I97" s="976" t="str">
        <f t="shared" si="3"/>
        <v/>
      </c>
      <c r="J97" s="976" t="str">
        <f t="shared" si="4"/>
        <v/>
      </c>
      <c r="K97" s="976" t="str">
        <f t="shared" si="5"/>
        <v/>
      </c>
    </row>
    <row r="98" spans="1:11" x14ac:dyDescent="0.35">
      <c r="A98" t="str">
        <f>Procurement_T2!A110</f>
        <v>_</v>
      </c>
      <c r="B98">
        <f>Procurement_T2!C110</f>
        <v>0</v>
      </c>
      <c r="C98">
        <f>Procurement_T2!D110</f>
        <v>0</v>
      </c>
      <c r="D98" t="str">
        <f>Procurement_T2!E110</f>
        <v/>
      </c>
      <c r="E98" t="str">
        <f>Procurement_T2!F110</f>
        <v/>
      </c>
      <c r="F98" t="str">
        <f>Procurement_T2!G110</f>
        <v>Not yet mapped</v>
      </c>
      <c r="G98" t="str">
        <f>Procurement_T2!I110</f>
        <v>Not yet mapped</v>
      </c>
      <c r="H98" t="str">
        <f>Procurement_T2!J110</f>
        <v>Scope 3</v>
      </c>
      <c r="I98" s="976" t="str">
        <f t="shared" si="3"/>
        <v/>
      </c>
      <c r="J98" s="976" t="str">
        <f t="shared" si="4"/>
        <v/>
      </c>
      <c r="K98" s="976" t="str">
        <f t="shared" si="5"/>
        <v/>
      </c>
    </row>
    <row r="99" spans="1:11" x14ac:dyDescent="0.35">
      <c r="A99" t="str">
        <f>Procurement_T2!A111</f>
        <v>_</v>
      </c>
      <c r="B99">
        <f>Procurement_T2!C111</f>
        <v>0</v>
      </c>
      <c r="C99">
        <f>Procurement_T2!D111</f>
        <v>0</v>
      </c>
      <c r="D99" t="str">
        <f>Procurement_T2!E111</f>
        <v/>
      </c>
      <c r="E99" t="str">
        <f>Procurement_T2!F111</f>
        <v/>
      </c>
      <c r="F99" t="str">
        <f>Procurement_T2!G111</f>
        <v>Not yet mapped</v>
      </c>
      <c r="G99" t="str">
        <f>Procurement_T2!I111</f>
        <v>Not yet mapped</v>
      </c>
      <c r="H99" t="str">
        <f>Procurement_T2!J111</f>
        <v>Scope 3</v>
      </c>
      <c r="I99" s="976" t="str">
        <f t="shared" si="3"/>
        <v/>
      </c>
      <c r="J99" s="976" t="str">
        <f t="shared" si="4"/>
        <v/>
      </c>
      <c r="K99" s="976" t="str">
        <f t="shared" si="5"/>
        <v/>
      </c>
    </row>
    <row r="100" spans="1:11" x14ac:dyDescent="0.35">
      <c r="A100" t="str">
        <f>Procurement_T2!A112</f>
        <v>_</v>
      </c>
      <c r="B100">
        <f>Procurement_T2!C112</f>
        <v>0</v>
      </c>
      <c r="C100">
        <f>Procurement_T2!D112</f>
        <v>0</v>
      </c>
      <c r="D100" t="str">
        <f>Procurement_T2!E112</f>
        <v/>
      </c>
      <c r="E100" t="str">
        <f>Procurement_T2!F112</f>
        <v/>
      </c>
      <c r="F100" t="str">
        <f>Procurement_T2!G112</f>
        <v>Not yet mapped</v>
      </c>
      <c r="G100" t="str">
        <f>Procurement_T2!I112</f>
        <v>Not yet mapped</v>
      </c>
      <c r="H100" t="str">
        <f>Procurement_T2!J112</f>
        <v>Scope 3</v>
      </c>
      <c r="I100" s="976" t="str">
        <f t="shared" si="3"/>
        <v/>
      </c>
      <c r="J100" s="976" t="str">
        <f t="shared" si="4"/>
        <v/>
      </c>
      <c r="K100" s="976" t="str">
        <f t="shared" si="5"/>
        <v/>
      </c>
    </row>
    <row r="101" spans="1:11" x14ac:dyDescent="0.35">
      <c r="A101" t="str">
        <f>Procurement_T2!A113</f>
        <v>_</v>
      </c>
      <c r="B101">
        <f>Procurement_T2!C113</f>
        <v>0</v>
      </c>
      <c r="C101">
        <f>Procurement_T2!D113</f>
        <v>0</v>
      </c>
      <c r="D101" t="str">
        <f>Procurement_T2!E113</f>
        <v/>
      </c>
      <c r="E101" t="str">
        <f>Procurement_T2!F113</f>
        <v/>
      </c>
      <c r="F101" t="str">
        <f>Procurement_T2!G113</f>
        <v>Not yet mapped</v>
      </c>
      <c r="G101" t="str">
        <f>Procurement_T2!I113</f>
        <v>Not yet mapped</v>
      </c>
      <c r="H101" t="str">
        <f>Procurement_T2!J113</f>
        <v>Scope 3</v>
      </c>
      <c r="I101" s="976" t="str">
        <f t="shared" si="3"/>
        <v/>
      </c>
      <c r="J101" s="976" t="str">
        <f t="shared" si="4"/>
        <v/>
      </c>
      <c r="K101" s="976" t="str">
        <f t="shared" si="5"/>
        <v/>
      </c>
    </row>
  </sheetData>
  <sheetProtection algorithmName="SHA-512" hashValue="UYzyECGbHMo1ZHLt8rlGJSF7yD7/jsYo0E22Ri17xHZC5We8oUt/fxxi8SWV4jsOQnPZ20SlMIhocpgYsBdAXg==" saltValue="xgANprcv10lTtHjVhKLHVQ==" spinCount="100000" sheet="1" objects="1" scenarios="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22ACE-C6E5-425D-AF33-796559D950D3}">
  <sheetPr>
    <tabColor theme="2"/>
  </sheetPr>
  <dimension ref="A3:F106"/>
  <sheetViews>
    <sheetView workbookViewId="0">
      <selection activeCell="F4" sqref="F4"/>
    </sheetView>
  </sheetViews>
  <sheetFormatPr defaultColWidth="8.81640625" defaultRowHeight="14.5" x14ac:dyDescent="0.35"/>
  <cols>
    <col min="1" max="1" width="46" bestFit="1" customWidth="1"/>
    <col min="2" max="2" width="20.453125" customWidth="1"/>
    <col min="3" max="3" width="19.7265625" customWidth="1"/>
    <col min="4" max="4" width="18.1796875" bestFit="1" customWidth="1"/>
  </cols>
  <sheetData>
    <row r="3" spans="1:6" x14ac:dyDescent="0.35">
      <c r="E3" s="706"/>
    </row>
    <row r="4" spans="1:6" ht="15" thickBot="1" x14ac:dyDescent="0.4"/>
    <row r="5" spans="1:6" ht="29" x14ac:dyDescent="0.35">
      <c r="A5" s="254" t="s">
        <v>1162</v>
      </c>
      <c r="B5" s="1036" t="s">
        <v>1163</v>
      </c>
      <c r="C5" s="1036" t="s">
        <v>1164</v>
      </c>
      <c r="D5" s="1037" t="s">
        <v>1165</v>
      </c>
      <c r="E5" s="1430" t="s">
        <v>1166</v>
      </c>
    </row>
    <row r="6" spans="1:6" x14ac:dyDescent="0.35">
      <c r="A6" s="747" t="str">
        <f>Procurement_T2!A13</f>
        <v>Anesthetic Gases</v>
      </c>
      <c r="B6" s="606">
        <f>Procurement_T2!C13</f>
        <v>0</v>
      </c>
      <c r="C6" s="606">
        <f>SUMIF(Procurement_T3!$B$13:$B$205,"="&amp;'T3 calcs'!A6,Procurement_T3!$C$13:$C$205)</f>
        <v>3</v>
      </c>
      <c r="D6" s="622">
        <f>SUMIF(Procurement_T3!$B$13:$B$205,"="&amp;'T3 calcs'!A6,Procurement_T3!$R$13:$R$205)</f>
        <v>0.4764325333333333</v>
      </c>
      <c r="E6" s="1431">
        <f>IF(B6&lt;C6,1,0)</f>
        <v>1</v>
      </c>
      <c r="F6" s="706"/>
    </row>
    <row r="7" spans="1:6" x14ac:dyDescent="0.35">
      <c r="A7" s="747" t="str">
        <f>Procurement_T2!A14</f>
        <v>Building fuels, generator diesel, gas etc.  </v>
      </c>
      <c r="B7" s="606">
        <f>Procurement_T2!C14</f>
        <v>50</v>
      </c>
      <c r="C7" s="606">
        <f>SUMIF(Procurement_T3!$B$13:$B$205,"="&amp;'T3 calcs'!A7,Procurement_T3!$C$13:$C$205)</f>
        <v>0</v>
      </c>
      <c r="D7" s="622">
        <f>SUMIF(Procurement_T3!$B$13:$B$205,"="&amp;'T3 calcs'!A7,Procurement_T3!$R$13:$R$205)</f>
        <v>0</v>
      </c>
      <c r="E7" s="1431">
        <f t="shared" ref="E7:E70" si="0">IF(B7&lt;C7,1,0)</f>
        <v>0</v>
      </c>
    </row>
    <row r="8" spans="1:6" x14ac:dyDescent="0.35">
      <c r="A8" s="747" t="str">
        <f>Procurement_T2!A15</f>
        <v>Animal and Animal Supplies</v>
      </c>
      <c r="B8" s="606">
        <f>Procurement_T2!C15</f>
        <v>10</v>
      </c>
      <c r="C8" s="606">
        <f>SUMIF(Procurement_T3!$B$13:$B$205,"="&amp;'T3 calcs'!A8,Procurement_T3!$C$13:$C$205)</f>
        <v>0</v>
      </c>
      <c r="D8" s="622">
        <f>SUMIF(Procurement_T3!$B$13:$B$205,"="&amp;'T3 calcs'!A8,Procurement_T3!$R$13:$R$205)</f>
        <v>0</v>
      </c>
      <c r="E8" s="1431">
        <f t="shared" si="0"/>
        <v>0</v>
      </c>
    </row>
    <row r="9" spans="1:6" x14ac:dyDescent="0.35">
      <c r="A9" s="747" t="str">
        <f>Procurement_T2!A16</f>
        <v>Cleaning Supplies</v>
      </c>
      <c r="B9" s="606">
        <f>Procurement_T2!C16</f>
        <v>0</v>
      </c>
      <c r="C9" s="606">
        <f>SUMIF(Procurement_T3!$B$13:$B$205,"="&amp;'T3 calcs'!A9,Procurement_T3!$C$13:$C$205)</f>
        <v>0</v>
      </c>
      <c r="D9" s="622">
        <f>SUMIF(Procurement_T3!$B$13:$B$205,"="&amp;'T3 calcs'!A9,Procurement_T3!$R$13:$R$205)</f>
        <v>0</v>
      </c>
      <c r="E9" s="1431">
        <f t="shared" si="0"/>
        <v>0</v>
      </c>
    </row>
    <row r="10" spans="1:6" x14ac:dyDescent="0.35">
      <c r="A10" s="747" t="str">
        <f>Procurement_T2!A17</f>
        <v xml:space="preserve">Dental supplies </v>
      </c>
      <c r="B10" s="606">
        <f>Procurement_T2!C17</f>
        <v>0</v>
      </c>
      <c r="C10" s="606">
        <f>SUMIF(Procurement_T3!$B$13:$B$205,"="&amp;'T3 calcs'!A10,Procurement_T3!$C$13:$C$205)</f>
        <v>0</v>
      </c>
      <c r="D10" s="622">
        <f>SUMIF(Procurement_T3!$B$13:$B$205,"="&amp;'T3 calcs'!A10,Procurement_T3!$R$13:$R$205)</f>
        <v>0</v>
      </c>
      <c r="E10" s="1431">
        <f t="shared" si="0"/>
        <v>0</v>
      </c>
    </row>
    <row r="11" spans="1:6" x14ac:dyDescent="0.35">
      <c r="A11" s="747" t="str">
        <f>Procurement_T2!A18</f>
        <v>Communication Accessories</v>
      </c>
      <c r="B11" s="606">
        <f>Procurement_T2!C18</f>
        <v>0</v>
      </c>
      <c r="C11" s="606">
        <f>SUMIF(Procurement_T3!$B$13:$B$205,"="&amp;'T3 calcs'!A11,Procurement_T3!$C$13:$C$205)</f>
        <v>0</v>
      </c>
      <c r="D11" s="622">
        <f>SUMIF(Procurement_T3!$B$13:$B$205,"="&amp;'T3 calcs'!A11,Procurement_T3!$R$13:$R$205)</f>
        <v>0</v>
      </c>
      <c r="E11" s="1431">
        <f t="shared" si="0"/>
        <v>0</v>
      </c>
    </row>
    <row r="12" spans="1:6" x14ac:dyDescent="0.35">
      <c r="A12" s="747" t="str">
        <f>Procurement_T2!A19</f>
        <v>Communication Equipment</v>
      </c>
      <c r="B12" s="606">
        <f>Procurement_T2!C19</f>
        <v>0</v>
      </c>
      <c r="C12" s="606">
        <f>SUMIF(Procurement_T3!$B$13:$B$205,"="&amp;'T3 calcs'!A12,Procurement_T3!$C$13:$C$205)</f>
        <v>0</v>
      </c>
      <c r="D12" s="622">
        <f>SUMIF(Procurement_T3!$B$13:$B$205,"="&amp;'T3 calcs'!A12,Procurement_T3!$R$13:$R$205)</f>
        <v>0</v>
      </c>
      <c r="E12" s="1431">
        <f t="shared" si="0"/>
        <v>0</v>
      </c>
    </row>
    <row r="13" spans="1:6" x14ac:dyDescent="0.35">
      <c r="A13" s="747" t="str">
        <f>Procurement_T2!A20</f>
        <v>Communication Supplies</v>
      </c>
      <c r="B13" s="606">
        <f>Procurement_T2!C20</f>
        <v>0</v>
      </c>
      <c r="C13" s="606">
        <f>SUMIF(Procurement_T3!$B$13:$B$205,"="&amp;'T3 calcs'!A13,Procurement_T3!$C$13:$C$205)</f>
        <v>0</v>
      </c>
      <c r="D13" s="622">
        <f>SUMIF(Procurement_T3!$B$13:$B$205,"="&amp;'T3 calcs'!A13,Procurement_T3!$R$13:$R$205)</f>
        <v>0</v>
      </c>
      <c r="E13" s="1431">
        <f t="shared" si="0"/>
        <v>0</v>
      </c>
    </row>
    <row r="14" spans="1:6" x14ac:dyDescent="0.35">
      <c r="A14" s="747" t="str">
        <f>Procurement_T2!A21</f>
        <v>Computer Hardware Maintenance</v>
      </c>
      <c r="B14" s="606">
        <f>Procurement_T2!C21</f>
        <v>0</v>
      </c>
      <c r="C14" s="606">
        <f>SUMIF(Procurement_T3!$B$13:$B$205,"="&amp;'T3 calcs'!A14,Procurement_T3!$C$13:$C$205)</f>
        <v>0</v>
      </c>
      <c r="D14" s="622">
        <f>SUMIF(Procurement_T3!$B$13:$B$205,"="&amp;'T3 calcs'!A14,Procurement_T3!$R$13:$R$205)</f>
        <v>0</v>
      </c>
      <c r="E14" s="1431">
        <f t="shared" si="0"/>
        <v>0</v>
      </c>
    </row>
    <row r="15" spans="1:6" x14ac:dyDescent="0.35">
      <c r="A15" s="747" t="str">
        <f>Procurement_T2!A22</f>
        <v>Computer S/W License &amp; Rental</v>
      </c>
      <c r="B15" s="606">
        <f>Procurement_T2!C22</f>
        <v>0</v>
      </c>
      <c r="C15" s="606">
        <f>SUMIF(Procurement_T3!$B$13:$B$205,"="&amp;'T3 calcs'!A15,Procurement_T3!$C$13:$C$205)</f>
        <v>0</v>
      </c>
      <c r="D15" s="622">
        <f>SUMIF(Procurement_T3!$B$13:$B$205,"="&amp;'T3 calcs'!A15,Procurement_T3!$R$13:$R$205)</f>
        <v>0</v>
      </c>
      <c r="E15" s="1431">
        <f t="shared" si="0"/>
        <v>0</v>
      </c>
    </row>
    <row r="16" spans="1:6" x14ac:dyDescent="0.35">
      <c r="A16" s="747" t="str">
        <f>Procurement_T2!A23</f>
        <v>Construction Materials</v>
      </c>
      <c r="B16" s="606">
        <f>Procurement_T2!C23</f>
        <v>0</v>
      </c>
      <c r="C16" s="606">
        <f>SUMIF(Procurement_T3!$B$13:$B$205,"="&amp;'T3 calcs'!A16,Procurement_T3!$C$13:$C$205)</f>
        <v>0</v>
      </c>
      <c r="D16" s="622">
        <f>SUMIF(Procurement_T3!$B$13:$B$205,"="&amp;'T3 calcs'!A16,Procurement_T3!$R$13:$R$205)</f>
        <v>0</v>
      </c>
      <c r="E16" s="1431">
        <f t="shared" si="0"/>
        <v>0</v>
      </c>
    </row>
    <row r="17" spans="1:5" x14ac:dyDescent="0.35">
      <c r="A17" s="747" t="str">
        <f>Procurement_T2!A24</f>
        <v>Electricity</v>
      </c>
      <c r="B17" s="606">
        <f>Procurement_T2!C24</f>
        <v>500</v>
      </c>
      <c r="C17" s="606">
        <f>SUMIF(Procurement_T3!$B$13:$B$205,"="&amp;'T3 calcs'!A17,Procurement_T3!$C$13:$C$205)</f>
        <v>0</v>
      </c>
      <c r="D17" s="622">
        <f>SUMIF(Procurement_T3!$B$13:$B$205,"="&amp;'T3 calcs'!A17,Procurement_T3!$R$13:$R$205)</f>
        <v>0</v>
      </c>
      <c r="E17" s="1431">
        <f t="shared" si="0"/>
        <v>0</v>
      </c>
    </row>
    <row r="18" spans="1:5" x14ac:dyDescent="0.35">
      <c r="A18" s="747" t="str">
        <f>Procurement_T2!A25</f>
        <v>Employee Apparel</v>
      </c>
      <c r="B18" s="606">
        <f>Procurement_T2!C25</f>
        <v>0</v>
      </c>
      <c r="C18" s="606">
        <f>SUMIF(Procurement_T3!$B$13:$B$205,"="&amp;'T3 calcs'!A18,Procurement_T3!$C$13:$C$205)</f>
        <v>0</v>
      </c>
      <c r="D18" s="622">
        <f>SUMIF(Procurement_T3!$B$13:$B$205,"="&amp;'T3 calcs'!A18,Procurement_T3!$R$13:$R$205)</f>
        <v>0</v>
      </c>
      <c r="E18" s="1431">
        <f t="shared" si="0"/>
        <v>0</v>
      </c>
    </row>
    <row r="19" spans="1:5" x14ac:dyDescent="0.35">
      <c r="A19" s="747" t="str">
        <f>Procurement_T2!A26</f>
        <v>Enteral Feeds</v>
      </c>
      <c r="B19" s="606">
        <f>Procurement_T2!C26</f>
        <v>0</v>
      </c>
      <c r="C19" s="606">
        <f>SUMIF(Procurement_T3!$B$13:$B$205,"="&amp;'T3 calcs'!A19,Procurement_T3!$C$13:$C$205)</f>
        <v>0</v>
      </c>
      <c r="D19" s="622">
        <f>SUMIF(Procurement_T3!$B$13:$B$205,"="&amp;'T3 calcs'!A19,Procurement_T3!$R$13:$R$205)</f>
        <v>0</v>
      </c>
      <c r="E19" s="1431">
        <f t="shared" si="0"/>
        <v>0</v>
      </c>
    </row>
    <row r="20" spans="1:5" x14ac:dyDescent="0.35">
      <c r="A20" s="747" t="str">
        <f>Procurement_T2!A27</f>
        <v>Facilities Maintenance Equipment</v>
      </c>
      <c r="B20" s="606">
        <f>Procurement_T2!C27</f>
        <v>0</v>
      </c>
      <c r="C20" s="606">
        <f>SUMIF(Procurement_T3!$B$13:$B$205,"="&amp;'T3 calcs'!A20,Procurement_T3!$C$13:$C$205)</f>
        <v>0</v>
      </c>
      <c r="D20" s="622">
        <f>SUMIF(Procurement_T3!$B$13:$B$205,"="&amp;'T3 calcs'!A20,Procurement_T3!$R$13:$R$205)</f>
        <v>0</v>
      </c>
      <c r="E20" s="1431">
        <f t="shared" si="0"/>
        <v>0</v>
      </c>
    </row>
    <row r="21" spans="1:5" x14ac:dyDescent="0.35">
      <c r="A21" s="747" t="str">
        <f>Procurement_T2!A28</f>
        <v>Fast Moving Consumer Goods</v>
      </c>
      <c r="B21" s="606">
        <f>Procurement_T2!C28</f>
        <v>0</v>
      </c>
      <c r="C21" s="606">
        <f>SUMIF(Procurement_T3!$B$13:$B$205,"="&amp;'T3 calcs'!A21,Procurement_T3!$C$13:$C$205)</f>
        <v>0</v>
      </c>
      <c r="D21" s="622">
        <f>SUMIF(Procurement_T3!$B$13:$B$205,"="&amp;'T3 calcs'!A21,Procurement_T3!$R$13:$R$205)</f>
        <v>0</v>
      </c>
      <c r="E21" s="1431">
        <f t="shared" si="0"/>
        <v>0</v>
      </c>
    </row>
    <row r="22" spans="1:5" x14ac:dyDescent="0.35">
      <c r="A22" s="747" t="str">
        <f>Procurement_T2!A29</f>
        <v>Food Supplies</v>
      </c>
      <c r="B22" s="606">
        <f>Procurement_T2!C29</f>
        <v>0</v>
      </c>
      <c r="C22" s="606">
        <f>SUMIF(Procurement_T3!$B$13:$B$205,"="&amp;'T3 calcs'!A22,Procurement_T3!$C$13:$C$205)</f>
        <v>0</v>
      </c>
      <c r="D22" s="622">
        <f>SUMIF(Procurement_T3!$B$13:$B$205,"="&amp;'T3 calcs'!A22,Procurement_T3!$R$13:$R$205)</f>
        <v>0</v>
      </c>
      <c r="E22" s="1431">
        <f t="shared" si="0"/>
        <v>0</v>
      </c>
    </row>
    <row r="23" spans="1:5" x14ac:dyDescent="0.35">
      <c r="A23" s="747" t="str">
        <f>Procurement_T2!A30</f>
        <v>Fuel and Lubricants</v>
      </c>
      <c r="B23" s="606">
        <f>Procurement_T2!C30</f>
        <v>0</v>
      </c>
      <c r="C23" s="606">
        <f>SUMIF(Procurement_T3!$B$13:$B$205,"="&amp;'T3 calcs'!A23,Procurement_T3!$C$13:$C$205)</f>
        <v>0</v>
      </c>
      <c r="D23" s="622">
        <f>SUMIF(Procurement_T3!$B$13:$B$205,"="&amp;'T3 calcs'!A23,Procurement_T3!$R$13:$R$205)</f>
        <v>0</v>
      </c>
      <c r="E23" s="1431">
        <f t="shared" si="0"/>
        <v>0</v>
      </c>
    </row>
    <row r="24" spans="1:5" x14ac:dyDescent="0.35">
      <c r="A24" s="747" t="str">
        <f>Procurement_T2!A31</f>
        <v>Furniture &amp; Fixture</v>
      </c>
      <c r="B24" s="606">
        <f>Procurement_T2!C31</f>
        <v>0</v>
      </c>
      <c r="C24" s="606">
        <f>SUMIF(Procurement_T3!$B$13:$B$205,"="&amp;'T3 calcs'!A24,Procurement_T3!$C$13:$C$205)</f>
        <v>0</v>
      </c>
      <c r="D24" s="622">
        <f>SUMIF(Procurement_T3!$B$13:$B$205,"="&amp;'T3 calcs'!A24,Procurement_T3!$R$13:$R$205)</f>
        <v>0</v>
      </c>
      <c r="E24" s="1431">
        <f t="shared" si="0"/>
        <v>0</v>
      </c>
    </row>
    <row r="25" spans="1:5" x14ac:dyDescent="0.35">
      <c r="A25" s="747" t="str">
        <f>Procurement_T2!A32</f>
        <v>Gift shop supplies</v>
      </c>
      <c r="B25" s="606">
        <f>Procurement_T2!C32</f>
        <v>0</v>
      </c>
      <c r="C25" s="606">
        <f>SUMIF(Procurement_T3!$B$13:$B$205,"="&amp;'T3 calcs'!A25,Procurement_T3!$C$13:$C$205)</f>
        <v>0</v>
      </c>
      <c r="D25" s="622">
        <f>SUMIF(Procurement_T3!$B$13:$B$205,"="&amp;'T3 calcs'!A25,Procurement_T3!$R$13:$R$205)</f>
        <v>0</v>
      </c>
      <c r="E25" s="1431">
        <f t="shared" si="0"/>
        <v>0</v>
      </c>
    </row>
    <row r="26" spans="1:5" x14ac:dyDescent="0.35">
      <c r="A26" s="747" t="str">
        <f>Procurement_T2!A33</f>
        <v>Gas (Utility)</v>
      </c>
      <c r="B26" s="606">
        <f>Procurement_T2!C33</f>
        <v>0</v>
      </c>
      <c r="C26" s="606">
        <f>SUMIF(Procurement_T3!$B$13:$B$205,"="&amp;'T3 calcs'!A26,Procurement_T3!$C$13:$C$205)</f>
        <v>0</v>
      </c>
      <c r="D26" s="622">
        <f>SUMIF(Procurement_T3!$B$13:$B$205,"="&amp;'T3 calcs'!A26,Procurement_T3!$R$13:$R$205)</f>
        <v>0</v>
      </c>
      <c r="E26" s="1431">
        <f t="shared" si="0"/>
        <v>0</v>
      </c>
    </row>
    <row r="27" spans="1:5" x14ac:dyDescent="0.35">
      <c r="A27" s="747" t="str">
        <f>Procurement_T2!A34</f>
        <v>Household Equipment</v>
      </c>
      <c r="B27" s="606">
        <f>Procurement_T2!C34</f>
        <v>0</v>
      </c>
      <c r="C27" s="606">
        <f>SUMIF(Procurement_T3!$B$13:$B$205,"="&amp;'T3 calcs'!A27,Procurement_T3!$C$13:$C$205)</f>
        <v>0</v>
      </c>
      <c r="D27" s="622">
        <f>SUMIF(Procurement_T3!$B$13:$B$205,"="&amp;'T3 calcs'!A27,Procurement_T3!$R$13:$R$205)</f>
        <v>0</v>
      </c>
      <c r="E27" s="1431">
        <f t="shared" si="0"/>
        <v>0</v>
      </c>
    </row>
    <row r="28" spans="1:5" x14ac:dyDescent="0.35">
      <c r="A28" s="747" t="str">
        <f>Procurement_T2!A35</f>
        <v>Imaging Supplies</v>
      </c>
      <c r="B28" s="606">
        <f>Procurement_T2!C35</f>
        <v>0</v>
      </c>
      <c r="C28" s="606">
        <f>SUMIF(Procurement_T3!$B$13:$B$205,"="&amp;'T3 calcs'!A28,Procurement_T3!$C$13:$C$205)</f>
        <v>0</v>
      </c>
      <c r="D28" s="622">
        <f>SUMIF(Procurement_T3!$B$13:$B$205,"="&amp;'T3 calcs'!A28,Procurement_T3!$R$13:$R$205)</f>
        <v>0</v>
      </c>
      <c r="E28" s="1431">
        <f t="shared" si="0"/>
        <v>0</v>
      </c>
    </row>
    <row r="29" spans="1:5" x14ac:dyDescent="0.35">
      <c r="A29" s="747" t="str">
        <f>Procurement_T2!A36</f>
        <v>IT Accessories</v>
      </c>
      <c r="B29" s="606">
        <f>Procurement_T2!C36</f>
        <v>0</v>
      </c>
      <c r="C29" s="606">
        <f>SUMIF(Procurement_T3!$B$13:$B$205,"="&amp;'T3 calcs'!A29,Procurement_T3!$C$13:$C$205)</f>
        <v>0</v>
      </c>
      <c r="D29" s="622">
        <f>SUMIF(Procurement_T3!$B$13:$B$205,"="&amp;'T3 calcs'!A29,Procurement_T3!$R$13:$R$205)</f>
        <v>0</v>
      </c>
      <c r="E29" s="1431">
        <f t="shared" si="0"/>
        <v>0</v>
      </c>
    </row>
    <row r="30" spans="1:5" x14ac:dyDescent="0.35">
      <c r="A30" s="747" t="str">
        <f>Procurement_T2!A37</f>
        <v>IT Equipment</v>
      </c>
      <c r="B30" s="606">
        <f>Procurement_T2!C37</f>
        <v>0</v>
      </c>
      <c r="C30" s="606">
        <f>SUMIF(Procurement_T3!$B$13:$B$205,"="&amp;'T3 calcs'!A30,Procurement_T3!$C$13:$C$205)</f>
        <v>0</v>
      </c>
      <c r="D30" s="622">
        <f>SUMIF(Procurement_T3!$B$13:$B$205,"="&amp;'T3 calcs'!A30,Procurement_T3!$R$13:$R$205)</f>
        <v>0</v>
      </c>
      <c r="E30" s="1431">
        <f t="shared" si="0"/>
        <v>0</v>
      </c>
    </row>
    <row r="31" spans="1:5" x14ac:dyDescent="0.35">
      <c r="A31" s="747" t="str">
        <f>Procurement_T2!A38</f>
        <v>IT Supplies</v>
      </c>
      <c r="B31" s="606">
        <f>Procurement_T2!C38</f>
        <v>0</v>
      </c>
      <c r="C31" s="606">
        <f>SUMIF(Procurement_T3!$B$13:$B$205,"="&amp;'T3 calcs'!A31,Procurement_T3!$C$13:$C$205)</f>
        <v>0</v>
      </c>
      <c r="D31" s="622">
        <f>SUMIF(Procurement_T3!$B$13:$B$205,"="&amp;'T3 calcs'!A31,Procurement_T3!$R$13:$R$205)</f>
        <v>0</v>
      </c>
      <c r="E31" s="1431">
        <f t="shared" si="0"/>
        <v>0</v>
      </c>
    </row>
    <row r="32" spans="1:5" x14ac:dyDescent="0.35">
      <c r="A32" s="747" t="str">
        <f>Procurement_T2!A39</f>
        <v>Journals</v>
      </c>
      <c r="B32" s="606">
        <f>Procurement_T2!C39</f>
        <v>0</v>
      </c>
      <c r="C32" s="606">
        <f>SUMIF(Procurement_T3!$B$13:$B$205,"="&amp;'T3 calcs'!A32,Procurement_T3!$C$13:$C$205)</f>
        <v>0</v>
      </c>
      <c r="D32" s="622">
        <f>SUMIF(Procurement_T3!$B$13:$B$205,"="&amp;'T3 calcs'!A32,Procurement_T3!$R$13:$R$205)</f>
        <v>0</v>
      </c>
      <c r="E32" s="1431">
        <f t="shared" si="0"/>
        <v>0</v>
      </c>
    </row>
    <row r="33" spans="1:5" x14ac:dyDescent="0.35">
      <c r="A33" s="747" t="str">
        <f>Procurement_T2!A40</f>
        <v>Kitchen &amp; Laundry Equipment</v>
      </c>
      <c r="B33" s="606">
        <f>Procurement_T2!C40</f>
        <v>0</v>
      </c>
      <c r="C33" s="606">
        <f>SUMIF(Procurement_T3!$B$13:$B$205,"="&amp;'T3 calcs'!A33,Procurement_T3!$C$13:$C$205)</f>
        <v>0</v>
      </c>
      <c r="D33" s="622">
        <f>SUMIF(Procurement_T3!$B$13:$B$205,"="&amp;'T3 calcs'!A33,Procurement_T3!$R$13:$R$205)</f>
        <v>0</v>
      </c>
      <c r="E33" s="1431">
        <f t="shared" si="0"/>
        <v>0</v>
      </c>
    </row>
    <row r="34" spans="1:5" x14ac:dyDescent="0.35">
      <c r="A34" s="747" t="str">
        <f>Procurement_T2!A41</f>
        <v>Laboratory Consumables, Chemicals &amp; Supplies</v>
      </c>
      <c r="B34" s="606">
        <f>Procurement_T2!C41</f>
        <v>0</v>
      </c>
      <c r="C34" s="606">
        <f>SUMIF(Procurement_T3!$B$13:$B$205,"="&amp;'T3 calcs'!A34,Procurement_T3!$C$13:$C$205)</f>
        <v>0</v>
      </c>
      <c r="D34" s="622">
        <f>SUMIF(Procurement_T3!$B$13:$B$205,"="&amp;'T3 calcs'!A34,Procurement_T3!$R$13:$R$205)</f>
        <v>0</v>
      </c>
      <c r="E34" s="1431">
        <f t="shared" si="0"/>
        <v>0</v>
      </c>
    </row>
    <row r="35" spans="1:5" x14ac:dyDescent="0.35">
      <c r="A35" s="747" t="str">
        <f>Procurement_T2!A42</f>
        <v>Linen Supplies</v>
      </c>
      <c r="B35" s="606">
        <f>Procurement_T2!C42</f>
        <v>0</v>
      </c>
      <c r="C35" s="606">
        <f>SUMIF(Procurement_T3!$B$13:$B$205,"="&amp;'T3 calcs'!A35,Procurement_T3!$C$13:$C$205)</f>
        <v>0</v>
      </c>
      <c r="D35" s="622">
        <f>SUMIF(Procurement_T3!$B$13:$B$205,"="&amp;'T3 calcs'!A35,Procurement_T3!$R$13:$R$205)</f>
        <v>0</v>
      </c>
      <c r="E35" s="1431">
        <f t="shared" si="0"/>
        <v>0</v>
      </c>
    </row>
    <row r="36" spans="1:5" x14ac:dyDescent="0.35">
      <c r="A36" s="747" t="str">
        <f>Procurement_T2!A43</f>
        <v>Medical Equipment</v>
      </c>
      <c r="B36" s="606">
        <f>Procurement_T2!C43</f>
        <v>0</v>
      </c>
      <c r="C36" s="606">
        <f>SUMIF(Procurement_T3!$B$13:$B$205,"="&amp;'T3 calcs'!A36,Procurement_T3!$C$13:$C$205)</f>
        <v>0</v>
      </c>
      <c r="D36" s="622">
        <f>SUMIF(Procurement_T3!$B$13:$B$205,"="&amp;'T3 calcs'!A36,Procurement_T3!$R$13:$R$205)</f>
        <v>0</v>
      </c>
      <c r="E36" s="1431">
        <f t="shared" si="0"/>
        <v>0</v>
      </c>
    </row>
    <row r="37" spans="1:5" x14ac:dyDescent="0.35">
      <c r="A37" s="747" t="str">
        <f>Procurement_T2!A44</f>
        <v>Medical Surgical and Laboratory Equipment</v>
      </c>
      <c r="B37" s="606">
        <f>Procurement_T2!C44</f>
        <v>0</v>
      </c>
      <c r="C37" s="606">
        <f>SUMIF(Procurement_T3!$B$13:$B$205,"="&amp;'T3 calcs'!A37,Procurement_T3!$C$13:$C$205)</f>
        <v>0</v>
      </c>
      <c r="D37" s="622">
        <f>SUMIF(Procurement_T3!$B$13:$B$205,"="&amp;'T3 calcs'!A37,Procurement_T3!$R$13:$R$205)</f>
        <v>0</v>
      </c>
      <c r="E37" s="1431">
        <f t="shared" si="0"/>
        <v>0</v>
      </c>
    </row>
    <row r="38" spans="1:5" x14ac:dyDescent="0.35">
      <c r="A38" s="747" t="str">
        <f>Procurement_T2!A45</f>
        <v>Medical Surgical Supplies</v>
      </c>
      <c r="B38" s="606">
        <f>Procurement_T2!C45</f>
        <v>0</v>
      </c>
      <c r="C38" s="606">
        <f>SUMIF(Procurement_T3!$B$13:$B$205,"="&amp;'T3 calcs'!A38,Procurement_T3!$C$13:$C$205)</f>
        <v>0</v>
      </c>
      <c r="D38" s="622">
        <f>SUMIF(Procurement_T3!$B$13:$B$205,"="&amp;'T3 calcs'!A38,Procurement_T3!$R$13:$R$205)</f>
        <v>0</v>
      </c>
      <c r="E38" s="1431">
        <f t="shared" si="0"/>
        <v>0</v>
      </c>
    </row>
    <row r="39" spans="1:5" x14ac:dyDescent="0.35">
      <c r="A39" s="747" t="str">
        <f>Procurement_T2!A46</f>
        <v>Minor Equipment</v>
      </c>
      <c r="B39" s="606">
        <f>Procurement_T2!C46</f>
        <v>0</v>
      </c>
      <c r="C39" s="606">
        <f>SUMIF(Procurement_T3!$B$13:$B$205,"="&amp;'T3 calcs'!A39,Procurement_T3!$C$13:$C$205)</f>
        <v>0</v>
      </c>
      <c r="D39" s="622">
        <f>SUMIF(Procurement_T3!$B$13:$B$205,"="&amp;'T3 calcs'!A39,Procurement_T3!$R$13:$R$205)</f>
        <v>0</v>
      </c>
      <c r="E39" s="1431">
        <f t="shared" si="0"/>
        <v>0</v>
      </c>
    </row>
    <row r="40" spans="1:5" x14ac:dyDescent="0.35">
      <c r="A40" s="747" t="str">
        <f>Procurement_T2!A47</f>
        <v>MRO Supplies</v>
      </c>
      <c r="B40" s="606">
        <f>Procurement_T2!C47</f>
        <v>0</v>
      </c>
      <c r="C40" s="606">
        <f>SUMIF(Procurement_T3!$B$13:$B$205,"="&amp;'T3 calcs'!A40,Procurement_T3!$C$13:$C$205)</f>
        <v>0</v>
      </c>
      <c r="D40" s="622">
        <f>SUMIF(Procurement_T3!$B$13:$B$205,"="&amp;'T3 calcs'!A40,Procurement_T3!$R$13:$R$205)</f>
        <v>0</v>
      </c>
      <c r="E40" s="1431">
        <f t="shared" si="0"/>
        <v>0</v>
      </c>
    </row>
    <row r="41" spans="1:5" x14ac:dyDescent="0.35">
      <c r="A41" s="747" t="str">
        <f>Procurement_T2!A48</f>
        <v>Office Equipment</v>
      </c>
      <c r="B41" s="606">
        <f>Procurement_T2!C48</f>
        <v>0</v>
      </c>
      <c r="C41" s="606">
        <f>SUMIF(Procurement_T3!$B$13:$B$205,"="&amp;'T3 calcs'!A41,Procurement_T3!$C$13:$C$205)</f>
        <v>0</v>
      </c>
      <c r="D41" s="622">
        <f>SUMIF(Procurement_T3!$B$13:$B$205,"="&amp;'T3 calcs'!A41,Procurement_T3!$R$13:$R$205)</f>
        <v>0</v>
      </c>
      <c r="E41" s="1431">
        <f t="shared" si="0"/>
        <v>0</v>
      </c>
    </row>
    <row r="42" spans="1:5" x14ac:dyDescent="0.35">
      <c r="A42" s="747" t="str">
        <f>Procurement_T2!A49</f>
        <v>Office Refreshments TJS</v>
      </c>
      <c r="B42" s="606">
        <f>Procurement_T2!C49</f>
        <v>0</v>
      </c>
      <c r="C42" s="606">
        <f>SUMIF(Procurement_T3!$B$13:$B$205,"="&amp;'T3 calcs'!A42,Procurement_T3!$C$13:$C$205)</f>
        <v>0</v>
      </c>
      <c r="D42" s="622">
        <f>SUMIF(Procurement_T3!$B$13:$B$205,"="&amp;'T3 calcs'!A42,Procurement_T3!$R$13:$R$205)</f>
        <v>0</v>
      </c>
      <c r="E42" s="1431">
        <f t="shared" si="0"/>
        <v>0</v>
      </c>
    </row>
    <row r="43" spans="1:5" x14ac:dyDescent="0.35">
      <c r="A43" s="747" t="str">
        <f>Procurement_T2!A50</f>
        <v>Office Stationery Supplies</v>
      </c>
      <c r="B43" s="606">
        <f>Procurement_T2!C50</f>
        <v>0</v>
      </c>
      <c r="C43" s="606">
        <f>SUMIF(Procurement_T3!$B$13:$B$205,"="&amp;'T3 calcs'!A43,Procurement_T3!$C$13:$C$205)</f>
        <v>0</v>
      </c>
      <c r="D43" s="622">
        <f>SUMIF(Procurement_T3!$B$13:$B$205,"="&amp;'T3 calcs'!A43,Procurement_T3!$R$13:$R$205)</f>
        <v>0</v>
      </c>
      <c r="E43" s="1431">
        <f t="shared" si="0"/>
        <v>0</v>
      </c>
    </row>
    <row r="44" spans="1:5" x14ac:dyDescent="0.35">
      <c r="A44" s="747" t="str">
        <f>Procurement_T2!A51</f>
        <v>Patient attire/bedding</v>
      </c>
      <c r="B44" s="606">
        <f>Procurement_T2!C51</f>
        <v>0</v>
      </c>
      <c r="C44" s="606">
        <f>SUMIF(Procurement_T3!$B$13:$B$205,"="&amp;'T3 calcs'!A44,Procurement_T3!$C$13:$C$205)</f>
        <v>0</v>
      </c>
      <c r="D44" s="622">
        <f>SUMIF(Procurement_T3!$B$13:$B$205,"="&amp;'T3 calcs'!A44,Procurement_T3!$R$13:$R$205)</f>
        <v>0</v>
      </c>
      <c r="E44" s="1431">
        <f t="shared" si="0"/>
        <v>0</v>
      </c>
    </row>
    <row r="45" spans="1:5" x14ac:dyDescent="0.35">
      <c r="A45" s="747" t="str">
        <f>Procurement_T2!A52</f>
        <v>Pharmaceuticals</v>
      </c>
      <c r="B45" s="606">
        <f>Procurement_T2!C52</f>
        <v>0</v>
      </c>
      <c r="C45" s="606">
        <f>SUMIF(Procurement_T3!$B$13:$B$205,"="&amp;'T3 calcs'!A45,Procurement_T3!$C$13:$C$205)</f>
        <v>0</v>
      </c>
      <c r="D45" s="622">
        <f>SUMIF(Procurement_T3!$B$13:$B$205,"="&amp;'T3 calcs'!A45,Procurement_T3!$R$13:$R$205)</f>
        <v>0</v>
      </c>
      <c r="E45" s="1431">
        <f t="shared" si="0"/>
        <v>0</v>
      </c>
    </row>
    <row r="46" spans="1:5" x14ac:dyDescent="0.35">
      <c r="A46" s="747" t="str">
        <f>Procurement_T2!A53</f>
        <v>Photography</v>
      </c>
      <c r="B46" s="606">
        <f>Procurement_T2!C53</f>
        <v>0</v>
      </c>
      <c r="C46" s="606">
        <f>SUMIF(Procurement_T3!$B$13:$B$205,"="&amp;'T3 calcs'!A46,Procurement_T3!$C$13:$C$205)</f>
        <v>0</v>
      </c>
      <c r="D46" s="622">
        <f>SUMIF(Procurement_T3!$B$13:$B$205,"="&amp;'T3 calcs'!A46,Procurement_T3!$R$13:$R$205)</f>
        <v>0</v>
      </c>
      <c r="E46" s="1431">
        <f t="shared" si="0"/>
        <v>0</v>
      </c>
    </row>
    <row r="47" spans="1:5" x14ac:dyDescent="0.35">
      <c r="A47" s="747" t="str">
        <f>Procurement_T2!A54</f>
        <v>Plant, HVAC, MEP Equip &amp; Auxil</v>
      </c>
      <c r="B47" s="606">
        <f>Procurement_T2!C54</f>
        <v>0</v>
      </c>
      <c r="C47" s="606">
        <f>SUMIF(Procurement_T3!$B$13:$B$205,"="&amp;'T3 calcs'!A47,Procurement_T3!$C$13:$C$205)</f>
        <v>0</v>
      </c>
      <c r="D47" s="622">
        <f>SUMIF(Procurement_T3!$B$13:$B$205,"="&amp;'T3 calcs'!A47,Procurement_T3!$R$13:$R$205)</f>
        <v>0</v>
      </c>
      <c r="E47" s="1431">
        <f t="shared" si="0"/>
        <v>0</v>
      </c>
    </row>
    <row r="48" spans="1:5" x14ac:dyDescent="0.35">
      <c r="A48" s="747" t="str">
        <f>Procurement_T2!A55</f>
        <v>Published and Printed Material</v>
      </c>
      <c r="B48" s="606">
        <f>Procurement_T2!C55</f>
        <v>0</v>
      </c>
      <c r="C48" s="606">
        <f>SUMIF(Procurement_T3!$B$13:$B$205,"="&amp;'T3 calcs'!A48,Procurement_T3!$C$13:$C$205)</f>
        <v>0</v>
      </c>
      <c r="D48" s="622">
        <f>SUMIF(Procurement_T3!$B$13:$B$205,"="&amp;'T3 calcs'!A48,Procurement_T3!$R$13:$R$205)</f>
        <v>0</v>
      </c>
      <c r="E48" s="1431">
        <f t="shared" si="0"/>
        <v>0</v>
      </c>
    </row>
    <row r="49" spans="1:5" x14ac:dyDescent="0.35">
      <c r="A49" s="747" t="str">
        <f>Procurement_T2!A56</f>
        <v>Repair and Maintenance-Equipment</v>
      </c>
      <c r="B49" s="606">
        <f>Procurement_T2!C56</f>
        <v>0</v>
      </c>
      <c r="C49" s="606">
        <f>SUMIF(Procurement_T3!$B$13:$B$205,"="&amp;'T3 calcs'!A49,Procurement_T3!$C$13:$C$205)</f>
        <v>0</v>
      </c>
      <c r="D49" s="622">
        <f>SUMIF(Procurement_T3!$B$13:$B$205,"="&amp;'T3 calcs'!A49,Procurement_T3!$R$13:$R$205)</f>
        <v>0</v>
      </c>
      <c r="E49" s="1431">
        <f t="shared" si="0"/>
        <v>0</v>
      </c>
    </row>
    <row r="50" spans="1:5" x14ac:dyDescent="0.35">
      <c r="A50" s="747" t="str">
        <f>Procurement_T2!A57</f>
        <v>Safety &amp; Fire Protection Supplies</v>
      </c>
      <c r="B50" s="606">
        <f>Procurement_T2!C57</f>
        <v>0</v>
      </c>
      <c r="C50" s="606">
        <f>SUMIF(Procurement_T3!$B$13:$B$205,"="&amp;'T3 calcs'!A50,Procurement_T3!$C$13:$C$205)</f>
        <v>0</v>
      </c>
      <c r="D50" s="622">
        <f>SUMIF(Procurement_T3!$B$13:$B$205,"="&amp;'T3 calcs'!A50,Procurement_T3!$R$13:$R$205)</f>
        <v>0</v>
      </c>
      <c r="E50" s="1431">
        <f t="shared" si="0"/>
        <v>0</v>
      </c>
    </row>
    <row r="51" spans="1:5" x14ac:dyDescent="0.35">
      <c r="A51" s="747" t="str">
        <f>Procurement_T2!A58</f>
        <v>Serving Items</v>
      </c>
      <c r="B51" s="606">
        <f>Procurement_T2!C58</f>
        <v>0</v>
      </c>
      <c r="C51" s="606">
        <f>SUMIF(Procurement_T3!$B$13:$B$205,"="&amp;'T3 calcs'!A51,Procurement_T3!$C$13:$C$205)</f>
        <v>0</v>
      </c>
      <c r="D51" s="622">
        <f>SUMIF(Procurement_T3!$B$13:$B$205,"="&amp;'T3 calcs'!A51,Procurement_T3!$R$13:$R$205)</f>
        <v>0</v>
      </c>
      <c r="E51" s="1431">
        <f t="shared" si="0"/>
        <v>0</v>
      </c>
    </row>
    <row r="52" spans="1:5" x14ac:dyDescent="0.35">
      <c r="A52" s="747" t="str">
        <f>Procurement_T2!A59</f>
        <v>Spares &amp; Accessories-Equipment</v>
      </c>
      <c r="B52" s="606">
        <f>Procurement_T2!C59</f>
        <v>0</v>
      </c>
      <c r="C52" s="606">
        <f>SUMIF(Procurement_T3!$B$13:$B$205,"="&amp;'T3 calcs'!A52,Procurement_T3!$C$13:$C$205)</f>
        <v>0</v>
      </c>
      <c r="D52" s="622">
        <f>SUMIF(Procurement_T3!$B$13:$B$205,"="&amp;'T3 calcs'!A52,Procurement_T3!$R$13:$R$205)</f>
        <v>0</v>
      </c>
      <c r="E52" s="1431">
        <f t="shared" si="0"/>
        <v>0</v>
      </c>
    </row>
    <row r="53" spans="1:5" x14ac:dyDescent="0.35">
      <c r="A53" s="747" t="str">
        <f>Procurement_T2!A60</f>
        <v>Sports &amp; Rehabilitation Equipment</v>
      </c>
      <c r="B53" s="606">
        <f>Procurement_T2!C60</f>
        <v>0</v>
      </c>
      <c r="C53" s="606">
        <f>SUMIF(Procurement_T3!$B$13:$B$205,"="&amp;'T3 calcs'!A53,Procurement_T3!$C$13:$C$205)</f>
        <v>0</v>
      </c>
      <c r="D53" s="622">
        <f>SUMIF(Procurement_T3!$B$13:$B$205,"="&amp;'T3 calcs'!A53,Procurement_T3!$R$13:$R$205)</f>
        <v>0</v>
      </c>
      <c r="E53" s="1431">
        <f t="shared" si="0"/>
        <v>0</v>
      </c>
    </row>
    <row r="54" spans="1:5" x14ac:dyDescent="0.35">
      <c r="A54" s="747" t="str">
        <f>Procurement_T2!A61</f>
        <v>Sports Goods</v>
      </c>
      <c r="B54" s="606">
        <f>Procurement_T2!C61</f>
        <v>0</v>
      </c>
      <c r="C54" s="606">
        <f>SUMIF(Procurement_T3!$B$13:$B$205,"="&amp;'T3 calcs'!A54,Procurement_T3!$C$13:$C$205)</f>
        <v>0</v>
      </c>
      <c r="D54" s="622">
        <f>SUMIF(Procurement_T3!$B$13:$B$205,"="&amp;'T3 calcs'!A54,Procurement_T3!$R$13:$R$205)</f>
        <v>0</v>
      </c>
      <c r="E54" s="1431">
        <f t="shared" si="0"/>
        <v>0</v>
      </c>
    </row>
    <row r="55" spans="1:5" x14ac:dyDescent="0.35">
      <c r="A55" s="747" t="str">
        <f>Procurement_T2!A62</f>
        <v>Staff Travel (by Air) International + Domestic</v>
      </c>
      <c r="B55" s="606">
        <f>Procurement_T2!C62</f>
        <v>0</v>
      </c>
      <c r="C55" s="606">
        <f>SUMIF(Procurement_T3!$B$13:$B$205,"="&amp;'T3 calcs'!A55,Procurement_T3!$C$13:$C$205)</f>
        <v>0</v>
      </c>
      <c r="D55" s="622">
        <f>SUMIF(Procurement_T3!$B$13:$B$205,"="&amp;'T3 calcs'!A55,Procurement_T3!$R$13:$R$205)</f>
        <v>0</v>
      </c>
      <c r="E55" s="1431">
        <f t="shared" si="0"/>
        <v>0</v>
      </c>
    </row>
    <row r="56" spans="1:5" x14ac:dyDescent="0.35">
      <c r="A56" s="747" t="str">
        <f>Procurement_T2!A63</f>
        <v>Surgical Instruments</v>
      </c>
      <c r="B56" s="606">
        <f>Procurement_T2!C63</f>
        <v>0</v>
      </c>
      <c r="C56" s="606">
        <f>SUMIF(Procurement_T3!$B$13:$B$205,"="&amp;'T3 calcs'!A56,Procurement_T3!$C$13:$C$205)</f>
        <v>0</v>
      </c>
      <c r="D56" s="622">
        <f>SUMIF(Procurement_T3!$B$13:$B$205,"="&amp;'T3 calcs'!A56,Procurement_T3!$R$13:$R$205)</f>
        <v>0</v>
      </c>
      <c r="E56" s="1431">
        <f t="shared" si="0"/>
        <v>0</v>
      </c>
    </row>
    <row r="57" spans="1:5" x14ac:dyDescent="0.35">
      <c r="A57" s="747" t="str">
        <f>Procurement_T2!A64</f>
        <v>Vehicles</v>
      </c>
      <c r="B57" s="606">
        <f>Procurement_T2!C64</f>
        <v>0</v>
      </c>
      <c r="C57" s="606">
        <f>SUMIF(Procurement_T3!$B$13:$B$205,"="&amp;'T3 calcs'!A57,Procurement_T3!$C$13:$C$205)</f>
        <v>0</v>
      </c>
      <c r="D57" s="622">
        <f>SUMIF(Procurement_T3!$B$13:$B$205,"="&amp;'T3 calcs'!A57,Procurement_T3!$R$13:$R$205)</f>
        <v>0</v>
      </c>
      <c r="E57" s="1431">
        <f t="shared" si="0"/>
        <v>0</v>
      </c>
    </row>
    <row r="58" spans="1:5" x14ac:dyDescent="0.35">
      <c r="A58" s="747" t="str">
        <f>Procurement_T2!A65</f>
        <v>Vehicles Fuel</v>
      </c>
      <c r="B58" s="606">
        <f>Procurement_T2!C65</f>
        <v>0</v>
      </c>
      <c r="C58" s="606">
        <f>SUMIF(Procurement_T3!$B$13:$B$205,"="&amp;'T3 calcs'!A58,Procurement_T3!$C$13:$C$205)</f>
        <v>0</v>
      </c>
      <c r="D58" s="622">
        <f>SUMIF(Procurement_T3!$B$13:$B$205,"="&amp;'T3 calcs'!A58,Procurement_T3!$R$13:$R$205)</f>
        <v>0</v>
      </c>
      <c r="E58" s="1431">
        <f t="shared" si="0"/>
        <v>0</v>
      </c>
    </row>
    <row r="59" spans="1:5" x14ac:dyDescent="0.35">
      <c r="A59" s="747" t="str">
        <f>Procurement_T2!A66</f>
        <v>Water</v>
      </c>
      <c r="B59" s="606">
        <f>Procurement_T2!C66</f>
        <v>0</v>
      </c>
      <c r="C59" s="606">
        <f>SUMIF(Procurement_T3!$B$13:$B$205,"="&amp;'T3 calcs'!A59,Procurement_T3!$C$13:$C$205)</f>
        <v>0</v>
      </c>
      <c r="D59" s="622">
        <f>SUMIF(Procurement_T3!$B$13:$B$205,"="&amp;'T3 calcs'!A59,Procurement_T3!$R$13:$R$205)</f>
        <v>0</v>
      </c>
      <c r="E59" s="1431">
        <f t="shared" si="0"/>
        <v>0</v>
      </c>
    </row>
    <row r="60" spans="1:5" x14ac:dyDescent="0.35">
      <c r="A60" s="747" t="str">
        <f>Procurement_T2!A67</f>
        <v>Vehicle Maintenance-Equipment, Insurance, Rent</v>
      </c>
      <c r="B60" s="606">
        <f>Procurement_T2!C67</f>
        <v>0</v>
      </c>
      <c r="C60" s="606">
        <f>SUMIF(Procurement_T3!$B$13:$B$205,"="&amp;'T3 calcs'!A60,Procurement_T3!$C$13:$C$205)</f>
        <v>0</v>
      </c>
      <c r="D60" s="622">
        <f>SUMIF(Procurement_T3!$B$13:$B$205,"="&amp;'T3 calcs'!A60,Procurement_T3!$R$13:$R$205)</f>
        <v>0</v>
      </c>
      <c r="E60" s="1431">
        <f t="shared" si="0"/>
        <v>0</v>
      </c>
    </row>
    <row r="61" spans="1:5" x14ac:dyDescent="0.35">
      <c r="A61" s="747" t="str">
        <f>Procurement_T2!A68</f>
        <v>Refrigerant gases for cooling systems</v>
      </c>
      <c r="B61" s="606">
        <f>Procurement_T2!C68</f>
        <v>0</v>
      </c>
      <c r="C61" s="606">
        <f>SUMIF(Procurement_T3!$B$13:$B$205,"="&amp;'T3 calcs'!A61,Procurement_T3!$C$13:$C$205)</f>
        <v>0</v>
      </c>
      <c r="D61" s="622">
        <f>SUMIF(Procurement_T3!$B$13:$B$205,"="&amp;'T3 calcs'!A61,Procurement_T3!$R$13:$R$205)</f>
        <v>0</v>
      </c>
      <c r="E61" s="1431">
        <f t="shared" si="0"/>
        <v>0</v>
      </c>
    </row>
    <row r="62" spans="1:5" x14ac:dyDescent="0.35">
      <c r="A62" s="747" t="str">
        <f>Procurement_T2!A69</f>
        <v>Buidings or land rent/lease</v>
      </c>
      <c r="B62" s="606">
        <f>Procurement_T2!C69</f>
        <v>0</v>
      </c>
      <c r="C62" s="606">
        <f>SUMIF(Procurement_T3!$B$13:$B$205,"="&amp;'T3 calcs'!A62,Procurement_T3!$C$13:$C$205)</f>
        <v>0</v>
      </c>
      <c r="D62" s="622">
        <f>SUMIF(Procurement_T3!$B$13:$B$205,"="&amp;'T3 calcs'!A62,Procurement_T3!$R$13:$R$205)</f>
        <v>0</v>
      </c>
      <c r="E62" s="1431">
        <f t="shared" si="0"/>
        <v>0</v>
      </c>
    </row>
    <row r="63" spans="1:5" x14ac:dyDescent="0.35">
      <c r="A63" s="747" t="str">
        <f>Procurement_T2!A70</f>
        <v>Other professional fees</v>
      </c>
      <c r="B63" s="606">
        <f>Procurement_T2!C70</f>
        <v>0</v>
      </c>
      <c r="C63" s="606">
        <f>SUMIF(Procurement_T3!$B$13:$B$205,"="&amp;'T3 calcs'!A63,Procurement_T3!$C$13:$C$205)</f>
        <v>0</v>
      </c>
      <c r="D63" s="622">
        <f>SUMIF(Procurement_T3!$B$13:$B$205,"="&amp;'T3 calcs'!A63,Procurement_T3!$R$13:$R$205)</f>
        <v>0</v>
      </c>
      <c r="E63" s="1431">
        <f t="shared" si="0"/>
        <v>0</v>
      </c>
    </row>
    <row r="64" spans="1:5" x14ac:dyDescent="0.35">
      <c r="A64" s="747" t="str">
        <f>Procurement_T2!A71</f>
        <v>Insurance</v>
      </c>
      <c r="B64" s="606">
        <f>Procurement_T2!C71</f>
        <v>0</v>
      </c>
      <c r="C64" s="606">
        <f>SUMIF(Procurement_T3!$B$13:$B$205,"="&amp;'T3 calcs'!A64,Procurement_T3!$C$13:$C$205)</f>
        <v>0</v>
      </c>
      <c r="D64" s="622">
        <f>SUMIF(Procurement_T3!$B$13:$B$205,"="&amp;'T3 calcs'!A64,Procurement_T3!$R$13:$R$205)</f>
        <v>0</v>
      </c>
      <c r="E64" s="1431">
        <f t="shared" si="0"/>
        <v>0</v>
      </c>
    </row>
    <row r="65" spans="1:5" x14ac:dyDescent="0.35">
      <c r="A65" s="747" t="str">
        <f>Procurement_T2!A72</f>
        <v>Bank fees</v>
      </c>
      <c r="B65" s="606">
        <f>Procurement_T2!C72</f>
        <v>0</v>
      </c>
      <c r="C65" s="606">
        <f>SUMIF(Procurement_T3!$B$13:$B$205,"="&amp;'T3 calcs'!A65,Procurement_T3!$C$13:$C$205)</f>
        <v>0</v>
      </c>
      <c r="D65" s="622">
        <f>SUMIF(Procurement_T3!$B$13:$B$205,"="&amp;'T3 calcs'!A65,Procurement_T3!$R$13:$R$205)</f>
        <v>0</v>
      </c>
      <c r="E65" s="1431">
        <f t="shared" si="0"/>
        <v>0</v>
      </c>
    </row>
    <row r="66" spans="1:5" x14ac:dyDescent="0.35">
      <c r="A66" s="747" t="str">
        <f>Procurement_T2!A73</f>
        <v>Construction Contracts (not materials)</v>
      </c>
      <c r="B66" s="606">
        <f>Procurement_T2!C73</f>
        <v>0</v>
      </c>
      <c r="C66" s="606">
        <f>SUMIF(Procurement_T3!$B$13:$B$205,"="&amp;'T3 calcs'!A66,Procurement_T3!$C$13:$C$205)</f>
        <v>0</v>
      </c>
      <c r="D66" s="622">
        <f>SUMIF(Procurement_T3!$B$13:$B$205,"="&amp;'T3 calcs'!A66,Procurement_T3!$R$13:$R$205)</f>
        <v>0</v>
      </c>
      <c r="E66" s="1431">
        <f t="shared" si="0"/>
        <v>0</v>
      </c>
    </row>
    <row r="67" spans="1:5" x14ac:dyDescent="0.35">
      <c r="A67" s="747" t="str">
        <f>Procurement_T2!A74</f>
        <v>_</v>
      </c>
      <c r="B67" s="606">
        <f>Procurement_T2!C74</f>
        <v>0</v>
      </c>
      <c r="C67" s="606">
        <f>SUMIF(Procurement_T3!$B$13:$B$205,"="&amp;'T3 calcs'!A67,Procurement_T3!$C$13:$C$205)</f>
        <v>0</v>
      </c>
      <c r="D67" s="622">
        <f>SUMIF(Procurement_T3!$B$13:$B$205,"="&amp;'T3 calcs'!A67,Procurement_T3!$R$13:$R$205)</f>
        <v>0</v>
      </c>
      <c r="E67" s="1431">
        <f t="shared" si="0"/>
        <v>0</v>
      </c>
    </row>
    <row r="68" spans="1:5" x14ac:dyDescent="0.35">
      <c r="A68" s="747" t="str">
        <f>Procurement_T2!A75</f>
        <v>_</v>
      </c>
      <c r="B68" s="606">
        <f>Procurement_T2!C75</f>
        <v>0</v>
      </c>
      <c r="C68" s="606">
        <f>SUMIF(Procurement_T3!$B$13:$B$205,"="&amp;'T3 calcs'!A68,Procurement_T3!$C$13:$C$205)</f>
        <v>0</v>
      </c>
      <c r="D68" s="622">
        <f>SUMIF(Procurement_T3!$B$13:$B$205,"="&amp;'T3 calcs'!A68,Procurement_T3!$R$13:$R$205)</f>
        <v>0</v>
      </c>
      <c r="E68" s="1431">
        <f t="shared" si="0"/>
        <v>0</v>
      </c>
    </row>
    <row r="69" spans="1:5" x14ac:dyDescent="0.35">
      <c r="A69" s="747" t="str">
        <f>Procurement_T2!A76</f>
        <v>_</v>
      </c>
      <c r="B69" s="606">
        <f>Procurement_T2!C76</f>
        <v>0</v>
      </c>
      <c r="C69" s="606">
        <f>SUMIF(Procurement_T3!$B$13:$B$205,"="&amp;'T3 calcs'!A69,Procurement_T3!$C$13:$C$205)</f>
        <v>0</v>
      </c>
      <c r="D69" s="622">
        <f>SUMIF(Procurement_T3!$B$13:$B$205,"="&amp;'T3 calcs'!A69,Procurement_T3!$R$13:$R$205)</f>
        <v>0</v>
      </c>
      <c r="E69" s="1431">
        <f t="shared" si="0"/>
        <v>0</v>
      </c>
    </row>
    <row r="70" spans="1:5" x14ac:dyDescent="0.35">
      <c r="A70" s="747" t="str">
        <f>Procurement_T2!A77</f>
        <v>_</v>
      </c>
      <c r="B70" s="606">
        <f>Procurement_T2!C77</f>
        <v>0</v>
      </c>
      <c r="C70" s="606">
        <f>SUMIF(Procurement_T3!$B$13:$B$205,"="&amp;'T3 calcs'!A70,Procurement_T3!$C$13:$C$205)</f>
        <v>0</v>
      </c>
      <c r="D70" s="622">
        <f>SUMIF(Procurement_T3!$B$13:$B$205,"="&amp;'T3 calcs'!A70,Procurement_T3!$R$13:$R$205)</f>
        <v>0</v>
      </c>
      <c r="E70" s="1431">
        <f t="shared" si="0"/>
        <v>0</v>
      </c>
    </row>
    <row r="71" spans="1:5" x14ac:dyDescent="0.35">
      <c r="A71" s="747" t="str">
        <f>Procurement_T2!A78</f>
        <v>_</v>
      </c>
      <c r="B71" s="606">
        <f>Procurement_T2!C78</f>
        <v>0</v>
      </c>
      <c r="C71" s="606">
        <f>SUMIF(Procurement_T3!$B$13:$B$205,"="&amp;'T3 calcs'!A71,Procurement_T3!$C$13:$C$205)</f>
        <v>0</v>
      </c>
      <c r="D71" s="622">
        <f>SUMIF(Procurement_T3!$B$13:$B$205,"="&amp;'T3 calcs'!A71,Procurement_T3!$R$13:$R$205)</f>
        <v>0</v>
      </c>
      <c r="E71" s="1431">
        <f t="shared" ref="E71:E106" si="1">IF(B71&lt;C71,1,0)</f>
        <v>0</v>
      </c>
    </row>
    <row r="72" spans="1:5" x14ac:dyDescent="0.35">
      <c r="A72" s="747" t="str">
        <f>Procurement_T2!A79</f>
        <v>_</v>
      </c>
      <c r="B72" s="606">
        <f>Procurement_T2!C79</f>
        <v>0</v>
      </c>
      <c r="C72" s="606">
        <f>SUMIF(Procurement_T3!$B$13:$B$205,"="&amp;'T3 calcs'!A72,Procurement_T3!$C$13:$C$205)</f>
        <v>0</v>
      </c>
      <c r="D72" s="622">
        <f>SUMIF(Procurement_T3!$B$13:$B$205,"="&amp;'T3 calcs'!A72,Procurement_T3!$R$13:$R$205)</f>
        <v>0</v>
      </c>
      <c r="E72" s="1431">
        <f t="shared" si="1"/>
        <v>0</v>
      </c>
    </row>
    <row r="73" spans="1:5" x14ac:dyDescent="0.35">
      <c r="A73" s="747" t="str">
        <f>Procurement_T2!A80</f>
        <v>_</v>
      </c>
      <c r="B73" s="606">
        <f>Procurement_T2!C80</f>
        <v>0</v>
      </c>
      <c r="C73" s="606">
        <f>SUMIF(Procurement_T3!$B$13:$B$205,"="&amp;'T3 calcs'!A73,Procurement_T3!$C$13:$C$205)</f>
        <v>0</v>
      </c>
      <c r="D73" s="622">
        <f>SUMIF(Procurement_T3!$B$13:$B$205,"="&amp;'T3 calcs'!A73,Procurement_T3!$R$13:$R$205)</f>
        <v>0</v>
      </c>
      <c r="E73" s="1431">
        <f t="shared" si="1"/>
        <v>0</v>
      </c>
    </row>
    <row r="74" spans="1:5" x14ac:dyDescent="0.35">
      <c r="A74" s="747" t="str">
        <f>Procurement_T2!A81</f>
        <v>_</v>
      </c>
      <c r="B74" s="606">
        <f>Procurement_T2!C81</f>
        <v>0</v>
      </c>
      <c r="C74" s="606">
        <f>SUMIF(Procurement_T3!$B$13:$B$205,"="&amp;'T3 calcs'!A74,Procurement_T3!$C$13:$C$205)</f>
        <v>0</v>
      </c>
      <c r="D74" s="622">
        <f>SUMIF(Procurement_T3!$B$13:$B$205,"="&amp;'T3 calcs'!A74,Procurement_T3!$R$13:$R$205)</f>
        <v>0</v>
      </c>
      <c r="E74" s="1431">
        <f t="shared" si="1"/>
        <v>0</v>
      </c>
    </row>
    <row r="75" spans="1:5" x14ac:dyDescent="0.35">
      <c r="A75" s="747" t="str">
        <f>Procurement_T2!A82</f>
        <v>_</v>
      </c>
      <c r="B75" s="606">
        <f>Procurement_T2!C82</f>
        <v>0</v>
      </c>
      <c r="C75" s="606">
        <f>SUMIF(Procurement_T3!$B$13:$B$205,"="&amp;'T3 calcs'!A75,Procurement_T3!$C$13:$C$205)</f>
        <v>0</v>
      </c>
      <c r="D75" s="622">
        <f>SUMIF(Procurement_T3!$B$13:$B$205,"="&amp;'T3 calcs'!A75,Procurement_T3!$R$13:$R$205)</f>
        <v>0</v>
      </c>
      <c r="E75" s="1431">
        <f t="shared" si="1"/>
        <v>0</v>
      </c>
    </row>
    <row r="76" spans="1:5" x14ac:dyDescent="0.35">
      <c r="A76" s="747" t="str">
        <f>Procurement_T2!A83</f>
        <v>_</v>
      </c>
      <c r="B76" s="606">
        <f>Procurement_T2!C83</f>
        <v>0</v>
      </c>
      <c r="C76" s="606">
        <f>SUMIF(Procurement_T3!$B$13:$B$205,"="&amp;'T3 calcs'!A76,Procurement_T3!$C$13:$C$205)</f>
        <v>0</v>
      </c>
      <c r="D76" s="622">
        <f>SUMIF(Procurement_T3!$B$13:$B$205,"="&amp;'T3 calcs'!A76,Procurement_T3!$R$13:$R$205)</f>
        <v>0</v>
      </c>
      <c r="E76" s="1431">
        <f t="shared" si="1"/>
        <v>0</v>
      </c>
    </row>
    <row r="77" spans="1:5" x14ac:dyDescent="0.35">
      <c r="A77" s="747" t="str">
        <f>Procurement_T2!A84</f>
        <v>_</v>
      </c>
      <c r="B77" s="606">
        <f>Procurement_T2!C84</f>
        <v>0</v>
      </c>
      <c r="C77" s="606">
        <f>SUMIF(Procurement_T3!$B$13:$B$205,"="&amp;'T3 calcs'!A77,Procurement_T3!$C$13:$C$205)</f>
        <v>0</v>
      </c>
      <c r="D77" s="622">
        <f>SUMIF(Procurement_T3!$B$13:$B$205,"="&amp;'T3 calcs'!A77,Procurement_T3!$R$13:$R$205)</f>
        <v>0</v>
      </c>
      <c r="E77" s="1431">
        <f t="shared" si="1"/>
        <v>0</v>
      </c>
    </row>
    <row r="78" spans="1:5" x14ac:dyDescent="0.35">
      <c r="A78" s="747" t="str">
        <f>Procurement_T2!A85</f>
        <v>_</v>
      </c>
      <c r="B78" s="606">
        <f>Procurement_T2!C85</f>
        <v>0</v>
      </c>
      <c r="C78" s="606">
        <f>SUMIF(Procurement_T3!$B$13:$B$205,"="&amp;'T3 calcs'!A78,Procurement_T3!$C$13:$C$205)</f>
        <v>0</v>
      </c>
      <c r="D78" s="622">
        <f>SUMIF(Procurement_T3!$B$13:$B$205,"="&amp;'T3 calcs'!A78,Procurement_T3!$R$13:$R$205)</f>
        <v>0</v>
      </c>
      <c r="E78" s="1431">
        <f t="shared" si="1"/>
        <v>0</v>
      </c>
    </row>
    <row r="79" spans="1:5" x14ac:dyDescent="0.35">
      <c r="A79" s="747" t="str">
        <f>Procurement_T2!A86</f>
        <v>_</v>
      </c>
      <c r="B79" s="606">
        <f>Procurement_T2!C86</f>
        <v>0</v>
      </c>
      <c r="C79" s="606">
        <f>SUMIF(Procurement_T3!$B$13:$B$205,"="&amp;'T3 calcs'!A79,Procurement_T3!$C$13:$C$205)</f>
        <v>0</v>
      </c>
      <c r="D79" s="622">
        <f>SUMIF(Procurement_T3!$B$13:$B$205,"="&amp;'T3 calcs'!A79,Procurement_T3!$R$13:$R$205)</f>
        <v>0</v>
      </c>
      <c r="E79" s="1431">
        <f t="shared" si="1"/>
        <v>0</v>
      </c>
    </row>
    <row r="80" spans="1:5" x14ac:dyDescent="0.35">
      <c r="A80" s="747" t="str">
        <f>Procurement_T2!A87</f>
        <v>_</v>
      </c>
      <c r="B80" s="606">
        <f>Procurement_T2!C87</f>
        <v>0</v>
      </c>
      <c r="C80" s="606">
        <f>SUMIF(Procurement_T3!$B$13:$B$205,"="&amp;'T3 calcs'!A80,Procurement_T3!$C$13:$C$205)</f>
        <v>0</v>
      </c>
      <c r="D80" s="622">
        <f>SUMIF(Procurement_T3!$B$13:$B$205,"="&amp;'T3 calcs'!A80,Procurement_T3!$R$13:$R$205)</f>
        <v>0</v>
      </c>
      <c r="E80" s="1431">
        <f t="shared" si="1"/>
        <v>0</v>
      </c>
    </row>
    <row r="81" spans="1:5" x14ac:dyDescent="0.35">
      <c r="A81" s="747" t="str">
        <f>Procurement_T2!A88</f>
        <v>_</v>
      </c>
      <c r="B81" s="606">
        <f>Procurement_T2!C88</f>
        <v>0</v>
      </c>
      <c r="C81" s="606">
        <f>SUMIF(Procurement_T3!$B$13:$B$205,"="&amp;'T3 calcs'!A81,Procurement_T3!$C$13:$C$205)</f>
        <v>0</v>
      </c>
      <c r="D81" s="622">
        <f>SUMIF(Procurement_T3!$B$13:$B$205,"="&amp;'T3 calcs'!A81,Procurement_T3!$R$13:$R$205)</f>
        <v>0</v>
      </c>
      <c r="E81" s="1431">
        <f t="shared" si="1"/>
        <v>0</v>
      </c>
    </row>
    <row r="82" spans="1:5" x14ac:dyDescent="0.35">
      <c r="A82" s="747" t="str">
        <f>Procurement_T2!A89</f>
        <v>_</v>
      </c>
      <c r="B82" s="606">
        <f>Procurement_T2!C89</f>
        <v>0</v>
      </c>
      <c r="C82" s="606">
        <f>SUMIF(Procurement_T3!$B$13:$B$205,"="&amp;'T3 calcs'!A82,Procurement_T3!$C$13:$C$205)</f>
        <v>0</v>
      </c>
      <c r="D82" s="622">
        <f>SUMIF(Procurement_T3!$B$13:$B$205,"="&amp;'T3 calcs'!A82,Procurement_T3!$R$13:$R$205)</f>
        <v>0</v>
      </c>
      <c r="E82" s="1431">
        <f t="shared" si="1"/>
        <v>0</v>
      </c>
    </row>
    <row r="83" spans="1:5" x14ac:dyDescent="0.35">
      <c r="A83" s="747" t="str">
        <f>Procurement_T2!A90</f>
        <v>_</v>
      </c>
      <c r="B83" s="606">
        <f>Procurement_T2!C90</f>
        <v>0</v>
      </c>
      <c r="C83" s="606">
        <f>SUMIF(Procurement_T3!$B$13:$B$205,"="&amp;'T3 calcs'!A83,Procurement_T3!$C$13:$C$205)</f>
        <v>0</v>
      </c>
      <c r="D83" s="622">
        <f>SUMIF(Procurement_T3!$B$13:$B$205,"="&amp;'T3 calcs'!A83,Procurement_T3!$R$13:$R$205)</f>
        <v>0</v>
      </c>
      <c r="E83" s="1431">
        <f t="shared" si="1"/>
        <v>0</v>
      </c>
    </row>
    <row r="84" spans="1:5" x14ac:dyDescent="0.35">
      <c r="A84" s="747" t="str">
        <f>Procurement_T2!A91</f>
        <v>_</v>
      </c>
      <c r="B84" s="606">
        <f>Procurement_T2!C91</f>
        <v>0</v>
      </c>
      <c r="C84" s="606">
        <f>SUMIF(Procurement_T3!$B$13:$B$205,"="&amp;'T3 calcs'!A84,Procurement_T3!$C$13:$C$205)</f>
        <v>0</v>
      </c>
      <c r="D84" s="622">
        <f>SUMIF(Procurement_T3!$B$13:$B$205,"="&amp;'T3 calcs'!A84,Procurement_T3!$R$13:$R$205)</f>
        <v>0</v>
      </c>
      <c r="E84" s="1431">
        <f t="shared" si="1"/>
        <v>0</v>
      </c>
    </row>
    <row r="85" spans="1:5" x14ac:dyDescent="0.35">
      <c r="A85" s="747" t="str">
        <f>Procurement_T2!A92</f>
        <v>_</v>
      </c>
      <c r="B85" s="606">
        <f>Procurement_T2!C92</f>
        <v>0</v>
      </c>
      <c r="C85" s="606">
        <f>SUMIF(Procurement_T3!$B$13:$B$205,"="&amp;'T3 calcs'!A85,Procurement_T3!$C$13:$C$205)</f>
        <v>0</v>
      </c>
      <c r="D85" s="622">
        <f>SUMIF(Procurement_T3!$B$13:$B$205,"="&amp;'T3 calcs'!A85,Procurement_T3!$R$13:$R$205)</f>
        <v>0</v>
      </c>
      <c r="E85" s="1431">
        <f t="shared" si="1"/>
        <v>0</v>
      </c>
    </row>
    <row r="86" spans="1:5" x14ac:dyDescent="0.35">
      <c r="A86" s="747" t="str">
        <f>Procurement_T2!A93</f>
        <v>_</v>
      </c>
      <c r="B86" s="606">
        <f>Procurement_T2!C93</f>
        <v>0</v>
      </c>
      <c r="C86" s="606">
        <f>SUMIF(Procurement_T3!$B$13:$B$205,"="&amp;'T3 calcs'!A86,Procurement_T3!$C$13:$C$205)</f>
        <v>0</v>
      </c>
      <c r="D86" s="622">
        <f>SUMIF(Procurement_T3!$B$13:$B$205,"="&amp;'T3 calcs'!A86,Procurement_T3!$R$13:$R$205)</f>
        <v>0</v>
      </c>
      <c r="E86" s="1431">
        <f t="shared" si="1"/>
        <v>0</v>
      </c>
    </row>
    <row r="87" spans="1:5" x14ac:dyDescent="0.35">
      <c r="A87" s="747" t="str">
        <f>Procurement_T2!A94</f>
        <v>_</v>
      </c>
      <c r="B87" s="606">
        <f>Procurement_T2!C94</f>
        <v>0</v>
      </c>
      <c r="C87" s="606">
        <f>SUMIF(Procurement_T3!$B$13:$B$205,"="&amp;'T3 calcs'!A87,Procurement_T3!$C$13:$C$205)</f>
        <v>0</v>
      </c>
      <c r="D87" s="622">
        <f>SUMIF(Procurement_T3!$B$13:$B$205,"="&amp;'T3 calcs'!A87,Procurement_T3!$R$13:$R$205)</f>
        <v>0</v>
      </c>
      <c r="E87" s="1431">
        <f t="shared" si="1"/>
        <v>0</v>
      </c>
    </row>
    <row r="88" spans="1:5" x14ac:dyDescent="0.35">
      <c r="A88" s="747" t="str">
        <f>Procurement_T2!A95</f>
        <v>_</v>
      </c>
      <c r="B88" s="606">
        <f>Procurement_T2!C95</f>
        <v>0</v>
      </c>
      <c r="C88" s="606">
        <f>SUMIF(Procurement_T3!$B$13:$B$205,"="&amp;'T3 calcs'!A88,Procurement_T3!$C$13:$C$205)</f>
        <v>0</v>
      </c>
      <c r="D88" s="622">
        <f>SUMIF(Procurement_T3!$B$13:$B$205,"="&amp;'T3 calcs'!A88,Procurement_T3!$R$13:$R$205)</f>
        <v>0</v>
      </c>
      <c r="E88" s="1431">
        <f t="shared" si="1"/>
        <v>0</v>
      </c>
    </row>
    <row r="89" spans="1:5" x14ac:dyDescent="0.35">
      <c r="A89" s="747" t="str">
        <f>Procurement_T2!A96</f>
        <v>_</v>
      </c>
      <c r="B89" s="606">
        <f>Procurement_T2!C96</f>
        <v>0</v>
      </c>
      <c r="C89" s="606">
        <f>SUMIF(Procurement_T3!$B$13:$B$205,"="&amp;'T3 calcs'!A89,Procurement_T3!$C$13:$C$205)</f>
        <v>0</v>
      </c>
      <c r="D89" s="622">
        <f>SUMIF(Procurement_T3!$B$13:$B$205,"="&amp;'T3 calcs'!A89,Procurement_T3!$R$13:$R$205)</f>
        <v>0</v>
      </c>
      <c r="E89" s="1431">
        <f t="shared" si="1"/>
        <v>0</v>
      </c>
    </row>
    <row r="90" spans="1:5" x14ac:dyDescent="0.35">
      <c r="A90" s="747" t="str">
        <f>Procurement_T2!A97</f>
        <v>_</v>
      </c>
      <c r="B90" s="606">
        <f>Procurement_T2!C97</f>
        <v>0</v>
      </c>
      <c r="C90" s="606">
        <f>SUMIF(Procurement_T3!$B$13:$B$205,"="&amp;'T3 calcs'!A90,Procurement_T3!$C$13:$C$205)</f>
        <v>0</v>
      </c>
      <c r="D90" s="622">
        <f>SUMIF(Procurement_T3!$B$13:$B$205,"="&amp;'T3 calcs'!A90,Procurement_T3!$R$13:$R$205)</f>
        <v>0</v>
      </c>
      <c r="E90" s="1431">
        <f t="shared" si="1"/>
        <v>0</v>
      </c>
    </row>
    <row r="91" spans="1:5" x14ac:dyDescent="0.35">
      <c r="A91" s="747" t="str">
        <f>Procurement_T2!A98</f>
        <v>_</v>
      </c>
      <c r="B91" s="606">
        <f>Procurement_T2!C98</f>
        <v>0</v>
      </c>
      <c r="C91" s="606">
        <f>SUMIF(Procurement_T3!$B$13:$B$205,"="&amp;'T3 calcs'!A91,Procurement_T3!$C$13:$C$205)</f>
        <v>0</v>
      </c>
      <c r="D91" s="622">
        <f>SUMIF(Procurement_T3!$B$13:$B$205,"="&amp;'T3 calcs'!A91,Procurement_T3!$R$13:$R$205)</f>
        <v>0</v>
      </c>
      <c r="E91" s="1431">
        <f t="shared" si="1"/>
        <v>0</v>
      </c>
    </row>
    <row r="92" spans="1:5" x14ac:dyDescent="0.35">
      <c r="A92" s="747" t="str">
        <f>Procurement_T2!A99</f>
        <v>_</v>
      </c>
      <c r="B92" s="606">
        <f>Procurement_T2!C99</f>
        <v>0</v>
      </c>
      <c r="C92" s="606">
        <f>SUMIF(Procurement_T3!$B$13:$B$205,"="&amp;'T3 calcs'!A92,Procurement_T3!$C$13:$C$205)</f>
        <v>0</v>
      </c>
      <c r="D92" s="622">
        <f>SUMIF(Procurement_T3!$B$13:$B$205,"="&amp;'T3 calcs'!A92,Procurement_T3!$R$13:$R$205)</f>
        <v>0</v>
      </c>
      <c r="E92" s="1431">
        <f t="shared" si="1"/>
        <v>0</v>
      </c>
    </row>
    <row r="93" spans="1:5" x14ac:dyDescent="0.35">
      <c r="A93" s="747" t="str">
        <f>Procurement_T2!A100</f>
        <v>_</v>
      </c>
      <c r="B93" s="606">
        <f>Procurement_T2!C100</f>
        <v>0</v>
      </c>
      <c r="C93" s="606">
        <f>SUMIF(Procurement_T3!$B$13:$B$205,"="&amp;'T3 calcs'!A93,Procurement_T3!$C$13:$C$205)</f>
        <v>0</v>
      </c>
      <c r="D93" s="622">
        <f>SUMIF(Procurement_T3!$B$13:$B$205,"="&amp;'T3 calcs'!A93,Procurement_T3!$R$13:$R$205)</f>
        <v>0</v>
      </c>
      <c r="E93" s="1431">
        <f t="shared" si="1"/>
        <v>0</v>
      </c>
    </row>
    <row r="94" spans="1:5" x14ac:dyDescent="0.35">
      <c r="A94" s="747" t="str">
        <f>Procurement_T2!A101</f>
        <v>_</v>
      </c>
      <c r="B94" s="606">
        <f>Procurement_T2!C101</f>
        <v>0</v>
      </c>
      <c r="C94" s="606">
        <f>SUMIF(Procurement_T3!$B$13:$B$205,"="&amp;'T3 calcs'!A94,Procurement_T3!$C$13:$C$205)</f>
        <v>0</v>
      </c>
      <c r="D94" s="622">
        <f>SUMIF(Procurement_T3!$B$13:$B$205,"="&amp;'T3 calcs'!A94,Procurement_T3!$R$13:$R$205)</f>
        <v>0</v>
      </c>
      <c r="E94" s="1431">
        <f t="shared" si="1"/>
        <v>0</v>
      </c>
    </row>
    <row r="95" spans="1:5" x14ac:dyDescent="0.35">
      <c r="A95" s="747" t="str">
        <f>Procurement_T2!A102</f>
        <v>_</v>
      </c>
      <c r="B95" s="606">
        <f>Procurement_T2!C102</f>
        <v>0</v>
      </c>
      <c r="C95" s="606">
        <f>SUMIF(Procurement_T3!$B$13:$B$205,"="&amp;'T3 calcs'!A95,Procurement_T3!$C$13:$C$205)</f>
        <v>0</v>
      </c>
      <c r="D95" s="622">
        <f>SUMIF(Procurement_T3!$B$13:$B$205,"="&amp;'T3 calcs'!A95,Procurement_T3!$R$13:$R$205)</f>
        <v>0</v>
      </c>
      <c r="E95" s="1431">
        <f t="shared" si="1"/>
        <v>0</v>
      </c>
    </row>
    <row r="96" spans="1:5" x14ac:dyDescent="0.35">
      <c r="A96" s="747" t="str">
        <f>Procurement_T2!A103</f>
        <v>_</v>
      </c>
      <c r="B96" s="606">
        <f>Procurement_T2!C103</f>
        <v>0</v>
      </c>
      <c r="C96" s="606">
        <f>SUMIF(Procurement_T3!$B$13:$B$205,"="&amp;'T3 calcs'!A96,Procurement_T3!$C$13:$C$205)</f>
        <v>0</v>
      </c>
      <c r="D96" s="622">
        <f>SUMIF(Procurement_T3!$B$13:$B$205,"="&amp;'T3 calcs'!A96,Procurement_T3!$R$13:$R$205)</f>
        <v>0</v>
      </c>
      <c r="E96" s="1431">
        <f t="shared" si="1"/>
        <v>0</v>
      </c>
    </row>
    <row r="97" spans="1:5" x14ac:dyDescent="0.35">
      <c r="A97" s="747" t="str">
        <f>Procurement_T2!A104</f>
        <v>_</v>
      </c>
      <c r="B97" s="606">
        <f>Procurement_T2!C104</f>
        <v>0</v>
      </c>
      <c r="C97" s="606">
        <f>SUMIF(Procurement_T3!$B$13:$B$205,"="&amp;'T3 calcs'!A97,Procurement_T3!$C$13:$C$205)</f>
        <v>0</v>
      </c>
      <c r="D97" s="622">
        <f>SUMIF(Procurement_T3!$B$13:$B$205,"="&amp;'T3 calcs'!A97,Procurement_T3!$R$13:$R$205)</f>
        <v>0</v>
      </c>
      <c r="E97" s="1431">
        <f t="shared" si="1"/>
        <v>0</v>
      </c>
    </row>
    <row r="98" spans="1:5" x14ac:dyDescent="0.35">
      <c r="A98" s="747" t="str">
        <f>Procurement_T2!A105</f>
        <v>_</v>
      </c>
      <c r="B98" s="606">
        <f>Procurement_T2!C105</f>
        <v>0</v>
      </c>
      <c r="C98" s="606">
        <f>SUMIF(Procurement_T3!$B$13:$B$205,"="&amp;'T3 calcs'!A98,Procurement_T3!$C$13:$C$205)</f>
        <v>0</v>
      </c>
      <c r="D98" s="622">
        <f>SUMIF(Procurement_T3!$B$13:$B$205,"="&amp;'T3 calcs'!A98,Procurement_T3!$R$13:$R$205)</f>
        <v>0</v>
      </c>
      <c r="E98" s="1431">
        <f t="shared" si="1"/>
        <v>0</v>
      </c>
    </row>
    <row r="99" spans="1:5" x14ac:dyDescent="0.35">
      <c r="A99" s="747" t="str">
        <f>Procurement_T2!A106</f>
        <v>_</v>
      </c>
      <c r="B99" s="606">
        <f>Procurement_T2!C106</f>
        <v>0</v>
      </c>
      <c r="C99" s="606">
        <f>SUMIF(Procurement_T3!$B$13:$B$205,"="&amp;'T3 calcs'!A99,Procurement_T3!$C$13:$C$205)</f>
        <v>0</v>
      </c>
      <c r="D99" s="622">
        <f>SUMIF(Procurement_T3!$B$13:$B$205,"="&amp;'T3 calcs'!A99,Procurement_T3!$R$13:$R$205)</f>
        <v>0</v>
      </c>
      <c r="E99" s="1431">
        <f t="shared" si="1"/>
        <v>0</v>
      </c>
    </row>
    <row r="100" spans="1:5" x14ac:dyDescent="0.35">
      <c r="A100" s="747" t="str">
        <f>Procurement_T2!A107</f>
        <v>_</v>
      </c>
      <c r="B100" s="606">
        <f>Procurement_T2!C107</f>
        <v>0</v>
      </c>
      <c r="C100" s="606">
        <f>SUMIF(Procurement_T3!$B$13:$B$205,"="&amp;'T3 calcs'!A100,Procurement_T3!$C$13:$C$205)</f>
        <v>0</v>
      </c>
      <c r="D100" s="622">
        <f>SUMIF(Procurement_T3!$B$13:$B$205,"="&amp;'T3 calcs'!A100,Procurement_T3!$R$13:$R$205)</f>
        <v>0</v>
      </c>
      <c r="E100" s="1431">
        <f t="shared" si="1"/>
        <v>0</v>
      </c>
    </row>
    <row r="101" spans="1:5" x14ac:dyDescent="0.35">
      <c r="A101" s="747" t="str">
        <f>Procurement_T2!A108</f>
        <v>_</v>
      </c>
      <c r="B101" s="606">
        <f>Procurement_T2!C108</f>
        <v>0</v>
      </c>
      <c r="C101" s="606">
        <f>SUMIF(Procurement_T3!$B$13:$B$205,"="&amp;'T3 calcs'!A101,Procurement_T3!$C$13:$C$205)</f>
        <v>0</v>
      </c>
      <c r="D101" s="622">
        <f>SUMIF(Procurement_T3!$B$13:$B$205,"="&amp;'T3 calcs'!A101,Procurement_T3!$R$13:$R$205)</f>
        <v>0</v>
      </c>
      <c r="E101" s="1431">
        <f t="shared" si="1"/>
        <v>0</v>
      </c>
    </row>
    <row r="102" spans="1:5" x14ac:dyDescent="0.35">
      <c r="A102" s="747" t="str">
        <f>Procurement_T2!A109</f>
        <v>_</v>
      </c>
      <c r="B102" s="606">
        <f>Procurement_T2!C109</f>
        <v>0</v>
      </c>
      <c r="C102" s="606">
        <f>SUMIF(Procurement_T3!$B$13:$B$205,"="&amp;'T3 calcs'!A102,Procurement_T3!$C$13:$C$205)</f>
        <v>0</v>
      </c>
      <c r="D102" s="622">
        <f>SUMIF(Procurement_T3!$B$13:$B$205,"="&amp;'T3 calcs'!A102,Procurement_T3!$R$13:$R$205)</f>
        <v>0</v>
      </c>
      <c r="E102" s="1431">
        <f t="shared" si="1"/>
        <v>0</v>
      </c>
    </row>
    <row r="103" spans="1:5" x14ac:dyDescent="0.35">
      <c r="A103" s="747" t="str">
        <f>Procurement_T2!A110</f>
        <v>_</v>
      </c>
      <c r="B103" s="606">
        <f>Procurement_T2!C110</f>
        <v>0</v>
      </c>
      <c r="C103" s="606">
        <f>SUMIF(Procurement_T3!$B$13:$B$205,"="&amp;'T3 calcs'!A103,Procurement_T3!$C$13:$C$205)</f>
        <v>0</v>
      </c>
      <c r="D103" s="622">
        <f>SUMIF(Procurement_T3!$B$13:$B$205,"="&amp;'T3 calcs'!A103,Procurement_T3!$R$13:$R$205)</f>
        <v>0</v>
      </c>
      <c r="E103" s="1431">
        <f t="shared" si="1"/>
        <v>0</v>
      </c>
    </row>
    <row r="104" spans="1:5" x14ac:dyDescent="0.35">
      <c r="A104" s="747" t="str">
        <f>Procurement_T2!A111</f>
        <v>_</v>
      </c>
      <c r="B104" s="606">
        <f>Procurement_T2!C111</f>
        <v>0</v>
      </c>
      <c r="C104" s="606">
        <f>SUMIF(Procurement_T3!$B$13:$B$205,"="&amp;'T3 calcs'!A104,Procurement_T3!$C$13:$C$205)</f>
        <v>0</v>
      </c>
      <c r="D104" s="622">
        <f>SUMIF(Procurement_T3!$B$13:$B$205,"="&amp;'T3 calcs'!A104,Procurement_T3!$R$13:$R$205)</f>
        <v>0</v>
      </c>
      <c r="E104" s="1431">
        <f t="shared" si="1"/>
        <v>0</v>
      </c>
    </row>
    <row r="105" spans="1:5" x14ac:dyDescent="0.35">
      <c r="A105" s="747" t="str">
        <f>Procurement_T2!A112</f>
        <v>_</v>
      </c>
      <c r="B105" s="606">
        <f>Procurement_T2!C112</f>
        <v>0</v>
      </c>
      <c r="C105" s="606">
        <f>SUMIF(Procurement_T3!$B$13:$B$205,"="&amp;'T3 calcs'!A105,Procurement_T3!$C$13:$C$205)</f>
        <v>0</v>
      </c>
      <c r="D105" s="622">
        <f>SUMIF(Procurement_T3!$B$13:$B$205,"="&amp;'T3 calcs'!A105,Procurement_T3!$R$13:$R$205)</f>
        <v>0</v>
      </c>
      <c r="E105" s="1431">
        <f t="shared" si="1"/>
        <v>0</v>
      </c>
    </row>
    <row r="106" spans="1:5" ht="15" thickBot="1" x14ac:dyDescent="0.4">
      <c r="A106" s="504" t="str">
        <f>Procurement_T2!A113</f>
        <v>_</v>
      </c>
      <c r="B106" s="505">
        <f>Procurement_T2!C113</f>
        <v>0</v>
      </c>
      <c r="C106" s="505">
        <f>SUMIF(Procurement_T3!$B$13:$B$205,"="&amp;'T3 calcs'!A106,Procurement_T3!$C$13:$C$205)</f>
        <v>0</v>
      </c>
      <c r="D106" s="506">
        <f>SUMIF(Procurement_T3!$B$13:$B$205,"="&amp;'T3 calcs'!A106,Procurement_T3!$R$13:$R$205)</f>
        <v>0</v>
      </c>
      <c r="E106" s="1431">
        <f t="shared" si="1"/>
        <v>0</v>
      </c>
    </row>
  </sheetData>
  <sheetProtection algorithmName="SHA-512" hashValue="G1j7IhMlEtb4y4BA7R9z9QdvEz5zZG8vnb55KXwKwXSAGKtnVwPUY5/yeWSjyhC/lnSKmjpdXym4VNXGC4bepg==" saltValue="lnHG5Z4+UBpU+cOxJnP4jw==" spinCount="100000" sheet="1" objects="1" scenarios="1" selectLockedCells="1" selectUnlockedCells="1"/>
  <conditionalFormatting sqref="E6:E106">
    <cfRule type="containsText" dxfId="23" priority="1" operator="containsText" text="0">
      <formula>NOT(ISERROR(SEARCH("0",E6)))</formula>
    </cfRule>
    <cfRule type="containsText" dxfId="22" priority="2" operator="containsText" text="1">
      <formula>NOT(ISERROR(SEARCH("1",E6)))</formula>
    </cfRule>
  </conditionalFormatting>
  <pageMargins left="0.7" right="0.7" top="0.75" bottom="0.75" header="0.3" footer="0.3"/>
  <pageSetup paperSize="9" orientation="portrait" horizontalDpi="360" verticalDpi="36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D43E5-3C0C-4909-B8FD-F98D89101248}">
  <sheetPr>
    <tabColor rgb="FF00B050"/>
  </sheetPr>
  <dimension ref="A1:W205"/>
  <sheetViews>
    <sheetView topLeftCell="A9" zoomScale="85" zoomScaleNormal="85" workbookViewId="0">
      <selection activeCell="B16" sqref="B16"/>
    </sheetView>
  </sheetViews>
  <sheetFormatPr defaultColWidth="8.81640625" defaultRowHeight="14.5" x14ac:dyDescent="0.35"/>
  <cols>
    <col min="1" max="1" width="62.453125" customWidth="1"/>
    <col min="2" max="2" width="28.7265625" bestFit="1" customWidth="1"/>
    <col min="3" max="3" width="22.1796875" bestFit="1" customWidth="1"/>
    <col min="4" max="4" width="20.7265625" bestFit="1" customWidth="1"/>
    <col min="5" max="5" width="22.1796875" bestFit="1" customWidth="1"/>
    <col min="6" max="6" width="21.453125" bestFit="1" customWidth="1"/>
    <col min="7" max="7" width="22.26953125" bestFit="1" customWidth="1"/>
    <col min="8" max="8" width="21.453125" bestFit="1" customWidth="1"/>
    <col min="9" max="9" width="19.81640625" bestFit="1" customWidth="1"/>
    <col min="10" max="10" width="65.81640625" bestFit="1" customWidth="1"/>
    <col min="11" max="11" width="27" bestFit="1" customWidth="1"/>
    <col min="12" max="12" width="14" bestFit="1" customWidth="1"/>
    <col min="13" max="13" width="20.7265625" bestFit="1" customWidth="1"/>
    <col min="14" max="14" width="25.26953125" bestFit="1" customWidth="1"/>
    <col min="15" max="15" width="17" customWidth="1"/>
    <col min="16" max="16" width="15.54296875" customWidth="1"/>
    <col min="17" max="17" width="15.7265625" customWidth="1"/>
    <col min="18" max="18" width="17.81640625" customWidth="1"/>
    <col min="19" max="19" width="13.26953125" customWidth="1"/>
    <col min="21" max="21" width="13" customWidth="1"/>
    <col min="22" max="22" width="6.54296875" hidden="1" customWidth="1"/>
    <col min="23" max="23" width="21.7265625" hidden="1" customWidth="1"/>
  </cols>
  <sheetData>
    <row r="1" spans="1:23" ht="138.75" customHeight="1" thickBot="1" x14ac:dyDescent="0.4">
      <c r="A1" s="1682" t="s">
        <v>1167</v>
      </c>
      <c r="B1" s="1683"/>
      <c r="C1" s="1683"/>
      <c r="D1" s="1683"/>
      <c r="E1" s="1684"/>
      <c r="F1" s="320"/>
      <c r="G1" s="320"/>
      <c r="H1" s="320"/>
      <c r="I1" s="320"/>
    </row>
    <row r="2" spans="1:23" ht="15" thickBot="1" x14ac:dyDescent="0.4"/>
    <row r="3" spans="1:23" ht="29.5" thickBot="1" x14ac:dyDescent="0.4">
      <c r="A3" s="1058" t="s">
        <v>1168</v>
      </c>
      <c r="B3" s="1059" t="s">
        <v>1169</v>
      </c>
      <c r="C3" s="1059" t="s">
        <v>1170</v>
      </c>
      <c r="D3" s="1109" t="s">
        <v>1171</v>
      </c>
      <c r="E3" s="1060" t="s">
        <v>1172</v>
      </c>
      <c r="F3" s="807"/>
      <c r="G3" s="807"/>
      <c r="H3" s="807"/>
      <c r="I3" s="807"/>
    </row>
    <row r="4" spans="1:23" x14ac:dyDescent="0.35">
      <c r="A4" s="1092" t="s">
        <v>1173</v>
      </c>
      <c r="B4" s="1114">
        <f>COUNTIFS(C13:C205,"&gt;0",F13:F205,"Supplier data-see notes")</f>
        <v>0</v>
      </c>
      <c r="C4" s="1115">
        <f>COUNTIFS(C13:C205,"&gt;0",H13:H205,"Supplier data-see notes")</f>
        <v>0</v>
      </c>
      <c r="D4" s="1115">
        <f>COUNTIF(M13:M205,"Y")</f>
        <v>28</v>
      </c>
      <c r="E4" s="1116">
        <f>COUNTIF(N13:N205,"Y")</f>
        <v>0</v>
      </c>
      <c r="F4" s="1418"/>
      <c r="G4" s="694"/>
      <c r="H4" s="694"/>
      <c r="I4" s="694"/>
    </row>
    <row r="5" spans="1:23" x14ac:dyDescent="0.35">
      <c r="A5" s="1093" t="s">
        <v>1174</v>
      </c>
      <c r="B5" s="1110">
        <f>SUMIF(F13:F205,"Supplier data-see notes",C13:C205)</f>
        <v>0</v>
      </c>
      <c r="C5" s="1111">
        <f>SUMIF(H13:H205,"Supplier data-see notes",C13:C205)</f>
        <v>0</v>
      </c>
      <c r="D5" s="1111">
        <f>SUMIF(M13:M205,"Y",C13:C205)</f>
        <v>3</v>
      </c>
      <c r="E5" s="1112">
        <f>SUMIF(N13:N205,"Y",C13:C205)</f>
        <v>0</v>
      </c>
      <c r="F5" s="1419"/>
      <c r="G5" s="694"/>
      <c r="H5" s="694"/>
      <c r="I5" s="694"/>
    </row>
    <row r="6" spans="1:23" x14ac:dyDescent="0.35">
      <c r="A6" s="1093" t="s">
        <v>1175</v>
      </c>
      <c r="B6" s="1110">
        <f>SUMIF(F13:F205,"Supplier data-see notes",Q13:Q205)</f>
        <v>0</v>
      </c>
      <c r="C6" s="1111">
        <f>SUMIF(H13:H205,"Supplier data-see notes",R13:R205)</f>
        <v>0</v>
      </c>
      <c r="D6" s="1111">
        <f>SUMIF(M13:M205,"Y",R13:R205)</f>
        <v>0.4764325333333333</v>
      </c>
      <c r="E6" s="1112">
        <f>SUMIF(N13:N205,"Y",R13:R205)</f>
        <v>0</v>
      </c>
      <c r="F6" s="1419"/>
      <c r="G6" s="694"/>
      <c r="H6" s="694"/>
      <c r="I6" s="694"/>
    </row>
    <row r="7" spans="1:23" x14ac:dyDescent="0.35">
      <c r="A7" s="1093" t="s">
        <v>1176</v>
      </c>
      <c r="B7" s="1156">
        <f>IFERROR((B5/SUM(Procurement_T2!$C$13:$C$113)),"")</f>
        <v>0</v>
      </c>
      <c r="C7" s="1157">
        <f>IFERROR((C5/SUM(Procurement_T2!$C$13:$C$113)),"")</f>
        <v>0</v>
      </c>
      <c r="D7" s="1157">
        <f>IFERROR((D5/SUM(Procurement_T2!$C$13:$C$113)),"")</f>
        <v>5.3571428571428572E-3</v>
      </c>
      <c r="E7" s="1157">
        <f>IFERROR((E5/SUM(Procurement_T2!$C$13:$C$113)),"")</f>
        <v>0</v>
      </c>
      <c r="F7" s="1420"/>
      <c r="G7" s="1094"/>
      <c r="H7" s="1094"/>
      <c r="I7" s="1094"/>
    </row>
    <row r="8" spans="1:23" ht="15" thickBot="1" x14ac:dyDescent="0.4">
      <c r="A8" s="1155" t="s">
        <v>1177</v>
      </c>
      <c r="B8" s="1506">
        <f>IFERROR(((SUMIF(O13:O205,"&gt;0",C13:C205))/(SUM(Procurement_T2!C13:C113))),"")</f>
        <v>5.3571428571428572E-3</v>
      </c>
      <c r="C8" s="1507">
        <f>IFERROR(((SUMIF(P13:P205,"&gt;0",C13:C205))/(SUM(Procurement_T2!C13:C113))),"")</f>
        <v>5.3571428571428572E-3</v>
      </c>
      <c r="D8" s="1113"/>
      <c r="E8" s="1113"/>
      <c r="F8" s="1113"/>
      <c r="G8" s="1094"/>
      <c r="H8" s="1094"/>
      <c r="I8" s="1094"/>
    </row>
    <row r="9" spans="1:23" ht="48" customHeight="1" thickBot="1" x14ac:dyDescent="0.4">
      <c r="A9" s="1095" t="s">
        <v>1178</v>
      </c>
      <c r="B9" s="1043">
        <f>SUM(Procurement_T2!H13:H113)-SUMIF(Procurement_T2!B13:B113,"Y",Procurement_T2!H13:H113)</f>
        <v>0</v>
      </c>
      <c r="C9" s="1042" t="s">
        <v>316</v>
      </c>
      <c r="D9" s="1041"/>
      <c r="E9" s="382"/>
      <c r="F9" s="382"/>
      <c r="G9" s="382"/>
      <c r="H9" s="382"/>
      <c r="I9" s="382"/>
      <c r="J9" s="417"/>
      <c r="K9" s="382"/>
      <c r="L9" s="214"/>
      <c r="M9" s="417"/>
      <c r="N9" s="417"/>
      <c r="O9" s="417"/>
      <c r="P9" s="417"/>
      <c r="Q9" s="417"/>
    </row>
    <row r="10" spans="1:23" ht="15" thickBot="1" x14ac:dyDescent="0.4"/>
    <row r="11" spans="1:23" ht="67.5" customHeight="1" thickBot="1" x14ac:dyDescent="0.4">
      <c r="A11" s="1051" t="s">
        <v>1179</v>
      </c>
      <c r="B11" s="726" t="s">
        <v>1180</v>
      </c>
      <c r="C11" s="726" t="s">
        <v>1181</v>
      </c>
      <c r="D11" s="726" t="s">
        <v>1182</v>
      </c>
      <c r="E11" s="726" t="s">
        <v>1183</v>
      </c>
      <c r="F11" s="726" t="s">
        <v>1184</v>
      </c>
      <c r="G11" s="726" t="s">
        <v>1185</v>
      </c>
      <c r="H11" s="726" t="s">
        <v>1184</v>
      </c>
      <c r="I11" s="726" t="s">
        <v>1186</v>
      </c>
      <c r="J11" s="726" t="s">
        <v>1187</v>
      </c>
      <c r="K11" s="726" t="s">
        <v>1188</v>
      </c>
      <c r="L11" s="726" t="s">
        <v>1189</v>
      </c>
      <c r="M11" s="726" t="s">
        <v>1190</v>
      </c>
      <c r="N11" s="726" t="s">
        <v>1191</v>
      </c>
      <c r="O11" s="726" t="s">
        <v>1192</v>
      </c>
      <c r="P11" s="1052" t="s">
        <v>1193</v>
      </c>
      <c r="Q11" s="602" t="s">
        <v>1194</v>
      </c>
      <c r="R11" s="726" t="s">
        <v>1195</v>
      </c>
      <c r="S11" s="1053" t="s">
        <v>1196</v>
      </c>
      <c r="V11" s="1952" t="s">
        <v>474</v>
      </c>
      <c r="W11" s="1953"/>
    </row>
    <row r="12" spans="1:23" ht="29.5" thickBot="1" x14ac:dyDescent="0.4">
      <c r="A12" s="256" t="s">
        <v>1197</v>
      </c>
      <c r="B12" s="250" t="s">
        <v>329</v>
      </c>
      <c r="C12" s="250" t="s">
        <v>1198</v>
      </c>
      <c r="D12" s="712" t="s">
        <v>1199</v>
      </c>
      <c r="E12" s="712" t="s">
        <v>1200</v>
      </c>
      <c r="F12" s="712" t="s">
        <v>329</v>
      </c>
      <c r="G12" s="712" t="s">
        <v>1200</v>
      </c>
      <c r="H12" s="712" t="s">
        <v>329</v>
      </c>
      <c r="I12" s="712" t="s">
        <v>1201</v>
      </c>
      <c r="J12" s="712"/>
      <c r="K12" s="712" t="s">
        <v>1202</v>
      </c>
      <c r="L12" s="250" t="s">
        <v>1203</v>
      </c>
      <c r="M12" s="250" t="s">
        <v>471</v>
      </c>
      <c r="N12" s="250" t="s">
        <v>471</v>
      </c>
      <c r="O12" s="250" t="s">
        <v>1201</v>
      </c>
      <c r="P12" s="1427" t="s">
        <v>1201</v>
      </c>
      <c r="Q12" s="256" t="s">
        <v>1160</v>
      </c>
      <c r="R12" s="250" t="s">
        <v>1160</v>
      </c>
      <c r="S12" s="1136" t="s">
        <v>1204</v>
      </c>
      <c r="V12" s="480" t="s">
        <v>471</v>
      </c>
      <c r="W12" s="1428" t="s">
        <v>1184</v>
      </c>
    </row>
    <row r="13" spans="1:23" ht="58" x14ac:dyDescent="0.35">
      <c r="A13" s="1421" t="s">
        <v>1205</v>
      </c>
      <c r="B13" s="819" t="s">
        <v>1274</v>
      </c>
      <c r="C13" s="574">
        <v>3</v>
      </c>
      <c r="D13" s="928">
        <f>IFERROR((VLOOKUP(B13,'Spend mapping'!$A$11:$C$123,3,0)),"")</f>
        <v>1.4978540479526063</v>
      </c>
      <c r="E13" s="166">
        <v>2.9266666666666667E-2</v>
      </c>
      <c r="F13" s="574" t="s">
        <v>1210</v>
      </c>
      <c r="G13" s="574">
        <v>0.15881084444444443</v>
      </c>
      <c r="H13" s="574" t="s">
        <v>1210</v>
      </c>
      <c r="I13" s="574">
        <v>2019</v>
      </c>
      <c r="J13" s="1422" t="s">
        <v>1206</v>
      </c>
      <c r="K13" s="166"/>
      <c r="L13" s="166"/>
      <c r="M13" s="1423" t="s">
        <v>473</v>
      </c>
      <c r="N13" s="1423"/>
      <c r="O13" s="166">
        <v>2025</v>
      </c>
      <c r="P13" s="746">
        <v>2040</v>
      </c>
      <c r="Q13" s="1424">
        <f t="shared" ref="Q13:Q44" si="0">E13*C13</f>
        <v>8.7800000000000003E-2</v>
      </c>
      <c r="R13" s="1425">
        <f>C13*(IF(G13&gt;0,G13,D13))</f>
        <v>0.4764325333333333</v>
      </c>
      <c r="S13" s="1426">
        <f t="shared" ref="S13:S44" si="1">K13*C13</f>
        <v>0</v>
      </c>
      <c r="V13" s="254" t="s">
        <v>473</v>
      </c>
      <c r="W13" s="1037" t="s">
        <v>1207</v>
      </c>
    </row>
    <row r="14" spans="1:23" ht="58" x14ac:dyDescent="0.35">
      <c r="A14" s="1039" t="s">
        <v>1208</v>
      </c>
      <c r="B14" s="179"/>
      <c r="C14" s="577"/>
      <c r="D14" s="928" t="str">
        <f>IFERROR((VLOOKUP(B14,'Spend mapping'!$A$11:$C$123,3,0)),"")</f>
        <v/>
      </c>
      <c r="E14" s="168">
        <v>2.2126415722851431E-2</v>
      </c>
      <c r="F14" s="168"/>
      <c r="G14" s="577">
        <v>0.15847858570476825</v>
      </c>
      <c r="H14" s="577"/>
      <c r="I14" s="577">
        <v>2019</v>
      </c>
      <c r="J14" s="579" t="s">
        <v>1209</v>
      </c>
      <c r="K14" s="168"/>
      <c r="L14" s="168"/>
      <c r="M14" s="1409" t="s">
        <v>473</v>
      </c>
      <c r="N14" s="1409"/>
      <c r="O14" s="168">
        <v>2030</v>
      </c>
      <c r="P14" s="313">
        <v>2045</v>
      </c>
      <c r="Q14" s="1220">
        <f t="shared" si="0"/>
        <v>0</v>
      </c>
      <c r="R14" s="501">
        <f t="shared" ref="R14:R45" si="2">C14*G14</f>
        <v>0</v>
      </c>
      <c r="S14" s="587">
        <f t="shared" si="1"/>
        <v>0</v>
      </c>
      <c r="V14" s="235" t="s">
        <v>480</v>
      </c>
      <c r="W14" s="1429" t="s">
        <v>1210</v>
      </c>
    </row>
    <row r="15" spans="1:23" ht="44" thickBot="1" x14ac:dyDescent="0.4">
      <c r="A15" s="1039" t="s">
        <v>1211</v>
      </c>
      <c r="B15" s="179"/>
      <c r="C15" s="577"/>
      <c r="D15" s="928" t="str">
        <f>IFERROR((VLOOKUP(B15,'Spend mapping'!$A$11:$C$123,3,0)),"")</f>
        <v/>
      </c>
      <c r="E15" s="168">
        <v>2.6184971098265897E-2</v>
      </c>
      <c r="F15" s="168"/>
      <c r="G15" s="577">
        <v>0.32918249380677134</v>
      </c>
      <c r="H15" s="577"/>
      <c r="I15" s="577">
        <v>2017</v>
      </c>
      <c r="J15" s="579" t="s">
        <v>1212</v>
      </c>
      <c r="K15" s="168"/>
      <c r="L15" s="168"/>
      <c r="M15" s="1409" t="s">
        <v>473</v>
      </c>
      <c r="N15" s="1409"/>
      <c r="O15" s="168">
        <v>2028</v>
      </c>
      <c r="P15" s="313">
        <v>2040</v>
      </c>
      <c r="Q15" s="1220">
        <f t="shared" si="0"/>
        <v>0</v>
      </c>
      <c r="R15" s="501">
        <f t="shared" si="2"/>
        <v>0</v>
      </c>
      <c r="S15" s="587">
        <f t="shared" si="1"/>
        <v>0</v>
      </c>
      <c r="V15" s="256"/>
      <c r="W15" s="1136" t="s">
        <v>1213</v>
      </c>
    </row>
    <row r="16" spans="1:23" ht="29" x14ac:dyDescent="0.35">
      <c r="A16" s="1039" t="s">
        <v>1214</v>
      </c>
      <c r="B16" s="179" t="s">
        <v>1366</v>
      </c>
      <c r="C16" s="577"/>
      <c r="D16" s="928">
        <f>IFERROR((VLOOKUP(B16,'Spend mapping'!$A$11:$C$123,3,0)),"")</f>
        <v>0.25719083755428507</v>
      </c>
      <c r="E16" s="168">
        <v>2.8566682577565634E-2</v>
      </c>
      <c r="F16" s="168"/>
      <c r="G16" s="577">
        <v>0.11864121718377088</v>
      </c>
      <c r="H16" s="577"/>
      <c r="I16" s="577">
        <v>2019</v>
      </c>
      <c r="J16" s="579" t="s">
        <v>1215</v>
      </c>
      <c r="K16" s="168"/>
      <c r="L16" s="168"/>
      <c r="M16" s="1409" t="s">
        <v>473</v>
      </c>
      <c r="N16" s="1409"/>
      <c r="O16" s="168">
        <v>2030</v>
      </c>
      <c r="P16" s="313"/>
      <c r="Q16" s="1220">
        <f t="shared" si="0"/>
        <v>0</v>
      </c>
      <c r="R16" s="501">
        <f t="shared" si="2"/>
        <v>0</v>
      </c>
      <c r="S16" s="587">
        <f t="shared" si="1"/>
        <v>0</v>
      </c>
    </row>
    <row r="17" spans="1:19" ht="29" x14ac:dyDescent="0.35">
      <c r="A17" s="1039" t="s">
        <v>1216</v>
      </c>
      <c r="B17" s="179"/>
      <c r="C17" s="577"/>
      <c r="D17" s="928" t="str">
        <f>IFERROR((VLOOKUP(B17,'Spend mapping'!$A$11:$C$123,3,0)),"")</f>
        <v/>
      </c>
      <c r="E17" s="168">
        <v>1.8419445585215605E-2</v>
      </c>
      <c r="F17" s="168"/>
      <c r="G17" s="577">
        <v>0.13899710472279261</v>
      </c>
      <c r="H17" s="577"/>
      <c r="I17" s="577">
        <v>2020</v>
      </c>
      <c r="J17" s="579" t="s">
        <v>1217</v>
      </c>
      <c r="K17" s="168"/>
      <c r="L17" s="168"/>
      <c r="M17" s="1409" t="s">
        <v>473</v>
      </c>
      <c r="N17" s="1409"/>
      <c r="O17" s="168">
        <v>2027</v>
      </c>
      <c r="P17" s="313">
        <v>2035</v>
      </c>
      <c r="Q17" s="1220">
        <f t="shared" si="0"/>
        <v>0</v>
      </c>
      <c r="R17" s="501">
        <f t="shared" si="2"/>
        <v>0</v>
      </c>
      <c r="S17" s="587">
        <f t="shared" si="1"/>
        <v>0</v>
      </c>
    </row>
    <row r="18" spans="1:19" ht="29" x14ac:dyDescent="0.35">
      <c r="A18" s="1039" t="s">
        <v>1218</v>
      </c>
      <c r="B18" s="179"/>
      <c r="C18" s="577"/>
      <c r="D18" s="928" t="str">
        <f>IFERROR((VLOOKUP(B18,'Spend mapping'!$A$11:$C$123,3,0)),"")</f>
        <v/>
      </c>
      <c r="E18" s="168">
        <v>9.5792197759752805E-3</v>
      </c>
      <c r="F18" s="168"/>
      <c r="G18" s="577">
        <v>0.25556083429895715</v>
      </c>
      <c r="H18" s="577"/>
      <c r="I18" s="577">
        <v>2020</v>
      </c>
      <c r="J18" s="579" t="s">
        <v>1219</v>
      </c>
      <c r="K18" s="168"/>
      <c r="L18" s="168"/>
      <c r="M18" s="1409" t="s">
        <v>473</v>
      </c>
      <c r="N18" s="1409"/>
      <c r="O18" s="168">
        <v>2030</v>
      </c>
      <c r="P18" s="313">
        <v>2050</v>
      </c>
      <c r="Q18" s="1220">
        <f t="shared" si="0"/>
        <v>0</v>
      </c>
      <c r="R18" s="501">
        <f t="shared" si="2"/>
        <v>0</v>
      </c>
      <c r="S18" s="587">
        <f t="shared" si="1"/>
        <v>0</v>
      </c>
    </row>
    <row r="19" spans="1:19" x14ac:dyDescent="0.35">
      <c r="A19" s="1039" t="s">
        <v>1220</v>
      </c>
      <c r="B19" s="179"/>
      <c r="C19" s="577"/>
      <c r="D19" s="928" t="str">
        <f>IFERROR((VLOOKUP(B19,'Spend mapping'!$A$11:$C$123,3,0)),"")</f>
        <v/>
      </c>
      <c r="E19" s="168">
        <v>9.0516828087167066E-3</v>
      </c>
      <c r="F19" s="168"/>
      <c r="G19" s="577">
        <v>0.15924711864406779</v>
      </c>
      <c r="H19" s="577"/>
      <c r="I19" s="577">
        <v>2020</v>
      </c>
      <c r="J19" s="579" t="s">
        <v>1221</v>
      </c>
      <c r="K19" s="168"/>
      <c r="L19" s="168"/>
      <c r="M19" s="1409" t="s">
        <v>473</v>
      </c>
      <c r="N19" s="1409"/>
      <c r="O19" s="168">
        <v>2030</v>
      </c>
      <c r="P19" s="313">
        <v>2045</v>
      </c>
      <c r="Q19" s="1220">
        <f t="shared" si="0"/>
        <v>0</v>
      </c>
      <c r="R19" s="501">
        <f t="shared" si="2"/>
        <v>0</v>
      </c>
      <c r="S19" s="587">
        <f t="shared" si="1"/>
        <v>0</v>
      </c>
    </row>
    <row r="20" spans="1:19" x14ac:dyDescent="0.35">
      <c r="A20" s="1039" t="s">
        <v>1222</v>
      </c>
      <c r="B20" s="179"/>
      <c r="C20" s="577"/>
      <c r="D20" s="928" t="str">
        <f>IFERROR((VLOOKUP(B20,'Spend mapping'!$A$11:$C$123,3,0)),"")</f>
        <v/>
      </c>
      <c r="E20" s="168">
        <v>8.0153485397569821E-2</v>
      </c>
      <c r="F20" s="168"/>
      <c r="G20" s="577">
        <v>0.18908548283947985</v>
      </c>
      <c r="H20" s="577"/>
      <c r="I20" s="577">
        <v>2020</v>
      </c>
      <c r="J20" s="579" t="s">
        <v>1221</v>
      </c>
      <c r="K20" s="168"/>
      <c r="L20" s="168"/>
      <c r="M20" s="1409" t="s">
        <v>473</v>
      </c>
      <c r="N20" s="168"/>
      <c r="O20" s="168">
        <v>2025</v>
      </c>
      <c r="P20" s="313">
        <v>2040</v>
      </c>
      <c r="Q20" s="1220">
        <f t="shared" si="0"/>
        <v>0</v>
      </c>
      <c r="R20" s="501">
        <f t="shared" si="2"/>
        <v>0</v>
      </c>
      <c r="S20" s="587">
        <f t="shared" si="1"/>
        <v>0</v>
      </c>
    </row>
    <row r="21" spans="1:19" x14ac:dyDescent="0.35">
      <c r="A21" s="1039" t="s">
        <v>1223</v>
      </c>
      <c r="B21" s="179"/>
      <c r="C21" s="577"/>
      <c r="D21" s="928" t="str">
        <f>IFERROR((VLOOKUP(B21,'Spend mapping'!$A$11:$C$123,3,0)),"")</f>
        <v/>
      </c>
      <c r="E21" s="168">
        <v>3.6700680272108844E-3</v>
      </c>
      <c r="F21" s="168"/>
      <c r="G21" s="577">
        <v>0.40962244897959182</v>
      </c>
      <c r="H21" s="577"/>
      <c r="I21" s="577">
        <v>2019</v>
      </c>
      <c r="J21" s="579" t="s">
        <v>1224</v>
      </c>
      <c r="K21" s="168"/>
      <c r="L21" s="168"/>
      <c r="M21" s="1409" t="s">
        <v>473</v>
      </c>
      <c r="N21" s="168"/>
      <c r="O21" s="168">
        <v>2025</v>
      </c>
      <c r="P21" s="313">
        <v>2040</v>
      </c>
      <c r="Q21" s="1220">
        <f t="shared" si="0"/>
        <v>0</v>
      </c>
      <c r="R21" s="501">
        <f t="shared" si="2"/>
        <v>0</v>
      </c>
      <c r="S21" s="587">
        <f t="shared" si="1"/>
        <v>0</v>
      </c>
    </row>
    <row r="22" spans="1:19" ht="43.5" x14ac:dyDescent="0.35">
      <c r="A22" s="1039" t="s">
        <v>1225</v>
      </c>
      <c r="B22" s="179"/>
      <c r="C22" s="577"/>
      <c r="D22" s="928" t="str">
        <f>IFERROR((VLOOKUP(B22,'Spend mapping'!$A$11:$C$123,3,0)),"")</f>
        <v/>
      </c>
      <c r="E22" s="168"/>
      <c r="F22" s="168"/>
      <c r="G22" s="577">
        <v>0.11022222222222222</v>
      </c>
      <c r="H22" s="577"/>
      <c r="I22" s="577">
        <v>2020</v>
      </c>
      <c r="J22" s="579" t="s">
        <v>1226</v>
      </c>
      <c r="K22" s="168"/>
      <c r="L22" s="168"/>
      <c r="M22" s="1409" t="s">
        <v>473</v>
      </c>
      <c r="N22" s="168"/>
      <c r="O22" s="168"/>
      <c r="P22" s="313"/>
      <c r="Q22" s="1220">
        <f t="shared" si="0"/>
        <v>0</v>
      </c>
      <c r="R22" s="501">
        <f t="shared" si="2"/>
        <v>0</v>
      </c>
      <c r="S22" s="587">
        <f t="shared" si="1"/>
        <v>0</v>
      </c>
    </row>
    <row r="23" spans="1:19" x14ac:dyDescent="0.35">
      <c r="A23" s="1039" t="s">
        <v>1227</v>
      </c>
      <c r="B23" s="179"/>
      <c r="C23" s="577"/>
      <c r="D23" s="928" t="str">
        <f>IFERROR((VLOOKUP(B23,'Spend mapping'!$A$11:$C$123,3,0)),"")</f>
        <v/>
      </c>
      <c r="E23" s="168">
        <v>3.0934517933530768E-2</v>
      </c>
      <c r="F23" s="168"/>
      <c r="G23" s="577">
        <v>0.17196775255018099</v>
      </c>
      <c r="H23" s="577"/>
      <c r="I23" s="577">
        <v>2020</v>
      </c>
      <c r="J23" s="579" t="s">
        <v>1228</v>
      </c>
      <c r="K23" s="168"/>
      <c r="L23" s="168"/>
      <c r="M23" s="1409" t="s">
        <v>473</v>
      </c>
      <c r="N23" s="168"/>
      <c r="O23" s="168"/>
      <c r="P23" s="313"/>
      <c r="Q23" s="1220">
        <f t="shared" si="0"/>
        <v>0</v>
      </c>
      <c r="R23" s="501">
        <f t="shared" si="2"/>
        <v>0</v>
      </c>
      <c r="S23" s="587">
        <f t="shared" si="1"/>
        <v>0</v>
      </c>
    </row>
    <row r="24" spans="1:19" ht="43.5" x14ac:dyDescent="0.35">
      <c r="A24" s="1039" t="s">
        <v>1229</v>
      </c>
      <c r="B24" s="179"/>
      <c r="C24" s="577"/>
      <c r="D24" s="928" t="str">
        <f>IFERROR((VLOOKUP(B24,'Spend mapping'!$A$11:$C$123,3,0)),"")</f>
        <v/>
      </c>
      <c r="E24" s="168">
        <v>1.7277429695468455E-4</v>
      </c>
      <c r="F24" s="168"/>
      <c r="G24" s="577">
        <v>6.642295643304677E-2</v>
      </c>
      <c r="H24" s="577"/>
      <c r="I24" s="577">
        <v>2020</v>
      </c>
      <c r="J24" s="579" t="s">
        <v>1230</v>
      </c>
      <c r="K24" s="168"/>
      <c r="L24" s="168"/>
      <c r="M24" s="1409" t="s">
        <v>473</v>
      </c>
      <c r="N24" s="168"/>
      <c r="O24" s="168">
        <v>2020</v>
      </c>
      <c r="P24" s="313">
        <v>2030</v>
      </c>
      <c r="Q24" s="1220">
        <f t="shared" si="0"/>
        <v>0</v>
      </c>
      <c r="R24" s="501">
        <f t="shared" si="2"/>
        <v>0</v>
      </c>
      <c r="S24" s="587">
        <f t="shared" si="1"/>
        <v>0</v>
      </c>
    </row>
    <row r="25" spans="1:19" ht="43.5" x14ac:dyDescent="0.35">
      <c r="A25" s="1039" t="s">
        <v>1231</v>
      </c>
      <c r="B25" s="179"/>
      <c r="C25" s="577"/>
      <c r="D25" s="928" t="str">
        <f>IFERROR((VLOOKUP(B25,'Spend mapping'!$A$11:$C$123,3,0)),"")</f>
        <v/>
      </c>
      <c r="E25" s="168">
        <v>6.8948035879987631E-3</v>
      </c>
      <c r="F25" s="168"/>
      <c r="G25" s="577">
        <v>0.11195018558614291</v>
      </c>
      <c r="H25" s="577"/>
      <c r="I25" s="577">
        <v>2020</v>
      </c>
      <c r="J25" s="579" t="s">
        <v>1232</v>
      </c>
      <c r="K25" s="168"/>
      <c r="L25" s="168"/>
      <c r="M25" s="1409" t="s">
        <v>473</v>
      </c>
      <c r="N25" s="168"/>
      <c r="O25" s="168">
        <v>2050</v>
      </c>
      <c r="P25" s="313"/>
      <c r="Q25" s="1220">
        <f t="shared" si="0"/>
        <v>0</v>
      </c>
      <c r="R25" s="501">
        <f t="shared" si="2"/>
        <v>0</v>
      </c>
      <c r="S25" s="587">
        <f t="shared" si="1"/>
        <v>0</v>
      </c>
    </row>
    <row r="26" spans="1:19" x14ac:dyDescent="0.35">
      <c r="A26" s="1039" t="s">
        <v>1233</v>
      </c>
      <c r="B26" s="179"/>
      <c r="C26" s="577"/>
      <c r="D26" s="928" t="str">
        <f>IFERROR((VLOOKUP(B26,'Spend mapping'!$A$11:$C$123,3,0)),"")</f>
        <v/>
      </c>
      <c r="E26" s="168">
        <v>4.3587380915196004E-4</v>
      </c>
      <c r="F26" s="168"/>
      <c r="G26" s="577"/>
      <c r="H26" s="577"/>
      <c r="I26" s="577">
        <v>2020</v>
      </c>
      <c r="J26" s="579"/>
      <c r="K26" s="168"/>
      <c r="L26" s="168"/>
      <c r="M26" s="1409" t="s">
        <v>473</v>
      </c>
      <c r="N26" s="168"/>
      <c r="O26" s="168">
        <v>2030</v>
      </c>
      <c r="P26" s="313"/>
      <c r="Q26" s="1220">
        <f t="shared" si="0"/>
        <v>0</v>
      </c>
      <c r="R26" s="501">
        <f t="shared" si="2"/>
        <v>0</v>
      </c>
      <c r="S26" s="587">
        <f t="shared" si="1"/>
        <v>0</v>
      </c>
    </row>
    <row r="27" spans="1:19" x14ac:dyDescent="0.35">
      <c r="A27" s="1039" t="s">
        <v>1234</v>
      </c>
      <c r="B27" s="179"/>
      <c r="C27" s="577"/>
      <c r="D27" s="928" t="str">
        <f>IFERROR((VLOOKUP(B27,'Spend mapping'!$A$11:$C$123,3,0)),"")</f>
        <v/>
      </c>
      <c r="E27" s="168">
        <v>4.1875000000000002E-2</v>
      </c>
      <c r="F27" s="168"/>
      <c r="G27" s="577"/>
      <c r="H27" s="577"/>
      <c r="I27" s="577">
        <v>2020</v>
      </c>
      <c r="J27" s="579"/>
      <c r="K27" s="168"/>
      <c r="L27" s="168"/>
      <c r="M27" s="1409" t="s">
        <v>473</v>
      </c>
      <c r="N27" s="168"/>
      <c r="O27" s="168">
        <v>2025</v>
      </c>
      <c r="P27" s="313"/>
      <c r="Q27" s="1220">
        <f t="shared" si="0"/>
        <v>0</v>
      </c>
      <c r="R27" s="501">
        <f t="shared" si="2"/>
        <v>0</v>
      </c>
      <c r="S27" s="587">
        <f t="shared" si="1"/>
        <v>0</v>
      </c>
    </row>
    <row r="28" spans="1:19" ht="29" x14ac:dyDescent="0.35">
      <c r="A28" s="1039" t="s">
        <v>1235</v>
      </c>
      <c r="B28" s="179"/>
      <c r="C28" s="577"/>
      <c r="D28" s="928" t="str">
        <f>IFERROR((VLOOKUP(B28,'Spend mapping'!$A$11:$C$123,3,0)),"")</f>
        <v/>
      </c>
      <c r="E28" s="168">
        <v>0.15062111801242234</v>
      </c>
      <c r="F28" s="168"/>
      <c r="G28" s="577">
        <v>0.42515527950310555</v>
      </c>
      <c r="H28" s="577"/>
      <c r="I28" s="577">
        <v>2020</v>
      </c>
      <c r="J28" s="579" t="s">
        <v>1236</v>
      </c>
      <c r="K28" s="168"/>
      <c r="L28" s="168"/>
      <c r="M28" s="1409" t="s">
        <v>473</v>
      </c>
      <c r="N28" s="168"/>
      <c r="O28" s="168">
        <v>2050</v>
      </c>
      <c r="P28" s="313"/>
      <c r="Q28" s="1220">
        <f t="shared" si="0"/>
        <v>0</v>
      </c>
      <c r="R28" s="501">
        <f t="shared" si="2"/>
        <v>0</v>
      </c>
      <c r="S28" s="587">
        <f t="shared" si="1"/>
        <v>0</v>
      </c>
    </row>
    <row r="29" spans="1:19" ht="87" x14ac:dyDescent="0.35">
      <c r="A29" s="1039" t="s">
        <v>1237</v>
      </c>
      <c r="B29" s="179"/>
      <c r="C29" s="577"/>
      <c r="D29" s="928" t="str">
        <f>IFERROR((VLOOKUP(B29,'Spend mapping'!$A$11:$C$123,3,0)),"")</f>
        <v/>
      </c>
      <c r="E29" s="168">
        <v>1.3582365253793825E-2</v>
      </c>
      <c r="F29" s="168"/>
      <c r="G29" s="577">
        <v>0.31912176870748299</v>
      </c>
      <c r="H29" s="577"/>
      <c r="I29" s="577">
        <v>2020</v>
      </c>
      <c r="J29" s="579" t="s">
        <v>1238</v>
      </c>
      <c r="K29" s="168"/>
      <c r="L29" s="168"/>
      <c r="M29" s="1409" t="s">
        <v>473</v>
      </c>
      <c r="N29" s="168"/>
      <c r="O29" s="168">
        <v>2030</v>
      </c>
      <c r="P29" s="313">
        <v>2039</v>
      </c>
      <c r="Q29" s="1220">
        <f t="shared" si="0"/>
        <v>0</v>
      </c>
      <c r="R29" s="501">
        <f t="shared" si="2"/>
        <v>0</v>
      </c>
      <c r="S29" s="587">
        <f t="shared" si="1"/>
        <v>0</v>
      </c>
    </row>
    <row r="30" spans="1:19" ht="29" x14ac:dyDescent="0.35">
      <c r="A30" s="1039" t="s">
        <v>1239</v>
      </c>
      <c r="B30" s="179"/>
      <c r="C30" s="577"/>
      <c r="D30" s="928" t="str">
        <f>IFERROR((VLOOKUP(B30,'Spend mapping'!$A$11:$C$123,3,0)),"")</f>
        <v/>
      </c>
      <c r="E30" s="168">
        <v>1.0073710073710074E-2</v>
      </c>
      <c r="F30" s="168"/>
      <c r="G30" s="577">
        <v>0.25623025623025625</v>
      </c>
      <c r="H30" s="577"/>
      <c r="I30" s="577">
        <v>2020</v>
      </c>
      <c r="J30" s="579" t="s">
        <v>1240</v>
      </c>
      <c r="K30" s="168"/>
      <c r="L30" s="168"/>
      <c r="M30" s="1409" t="s">
        <v>473</v>
      </c>
      <c r="N30" s="168"/>
      <c r="O30" s="168">
        <v>2025</v>
      </c>
      <c r="P30" s="313">
        <v>2040</v>
      </c>
      <c r="Q30" s="1220">
        <f t="shared" si="0"/>
        <v>0</v>
      </c>
      <c r="R30" s="501">
        <f t="shared" si="2"/>
        <v>0</v>
      </c>
      <c r="S30" s="587">
        <f t="shared" si="1"/>
        <v>0</v>
      </c>
    </row>
    <row r="31" spans="1:19" ht="58" x14ac:dyDescent="0.35">
      <c r="A31" s="1039" t="s">
        <v>1241</v>
      </c>
      <c r="B31" s="179"/>
      <c r="C31" s="577"/>
      <c r="D31" s="928" t="str">
        <f>IFERROR((VLOOKUP(B31,'Spend mapping'!$A$11:$C$123,3,0)),"")</f>
        <v/>
      </c>
      <c r="E31" s="168">
        <v>3.313131313131313E-2</v>
      </c>
      <c r="F31" s="168"/>
      <c r="G31" s="577"/>
      <c r="H31" s="577"/>
      <c r="I31" s="577">
        <v>2020</v>
      </c>
      <c r="J31" s="579" t="s">
        <v>1242</v>
      </c>
      <c r="K31" s="168"/>
      <c r="L31" s="168"/>
      <c r="M31" s="1409" t="s">
        <v>473</v>
      </c>
      <c r="N31" s="168"/>
      <c r="O31" s="168"/>
      <c r="P31" s="313"/>
      <c r="Q31" s="1220">
        <f t="shared" si="0"/>
        <v>0</v>
      </c>
      <c r="R31" s="501">
        <f t="shared" si="2"/>
        <v>0</v>
      </c>
      <c r="S31" s="587">
        <f t="shared" si="1"/>
        <v>0</v>
      </c>
    </row>
    <row r="32" spans="1:19" ht="29" x14ac:dyDescent="0.35">
      <c r="A32" s="1039" t="s">
        <v>1243</v>
      </c>
      <c r="B32" s="179"/>
      <c r="C32" s="577"/>
      <c r="D32" s="928" t="str">
        <f>IFERROR((VLOOKUP(B32,'Spend mapping'!$A$11:$C$123,3,0)),"")</f>
        <v/>
      </c>
      <c r="E32" s="168">
        <v>2.326651667007568E-2</v>
      </c>
      <c r="F32" s="168"/>
      <c r="G32" s="577"/>
      <c r="H32" s="577"/>
      <c r="I32" s="577">
        <v>2020</v>
      </c>
      <c r="J32" s="579" t="s">
        <v>1244</v>
      </c>
      <c r="K32" s="168"/>
      <c r="L32" s="168"/>
      <c r="M32" s="1409" t="s">
        <v>473</v>
      </c>
      <c r="N32" s="168"/>
      <c r="O32" s="168"/>
      <c r="P32" s="313"/>
      <c r="Q32" s="1220">
        <f t="shared" si="0"/>
        <v>0</v>
      </c>
      <c r="R32" s="501">
        <f t="shared" si="2"/>
        <v>0</v>
      </c>
      <c r="S32" s="587">
        <f t="shared" si="1"/>
        <v>0</v>
      </c>
    </row>
    <row r="33" spans="1:19" ht="29" x14ac:dyDescent="0.35">
      <c r="A33" s="1039" t="s">
        <v>1245</v>
      </c>
      <c r="B33" s="179"/>
      <c r="C33" s="577"/>
      <c r="D33" s="928" t="str">
        <f>IFERROR((VLOOKUP(B33,'Spend mapping'!$A$11:$C$123,3,0)),"")</f>
        <v/>
      </c>
      <c r="E33" s="168">
        <v>3.2158446866485016E-2</v>
      </c>
      <c r="F33" s="168"/>
      <c r="G33" s="577"/>
      <c r="H33" s="577"/>
      <c r="I33" s="577">
        <v>2020</v>
      </c>
      <c r="J33" s="579" t="s">
        <v>1246</v>
      </c>
      <c r="K33" s="168"/>
      <c r="L33" s="168"/>
      <c r="M33" s="1409" t="s">
        <v>473</v>
      </c>
      <c r="N33" s="168"/>
      <c r="O33" s="168"/>
      <c r="P33" s="313"/>
      <c r="Q33" s="1220">
        <f t="shared" si="0"/>
        <v>0</v>
      </c>
      <c r="R33" s="501">
        <f t="shared" si="2"/>
        <v>0</v>
      </c>
      <c r="S33" s="587">
        <f t="shared" si="1"/>
        <v>0</v>
      </c>
    </row>
    <row r="34" spans="1:19" ht="29" x14ac:dyDescent="0.35">
      <c r="A34" s="1039" t="s">
        <v>1247</v>
      </c>
      <c r="B34" s="179"/>
      <c r="C34" s="577"/>
      <c r="D34" s="928" t="str">
        <f>IFERROR((VLOOKUP(B34,'Spend mapping'!$A$11:$C$123,3,0)),"")</f>
        <v/>
      </c>
      <c r="E34" s="168">
        <v>0.11050712699663348</v>
      </c>
      <c r="F34" s="168"/>
      <c r="G34" s="577"/>
      <c r="H34" s="577"/>
      <c r="I34" s="577">
        <v>2020</v>
      </c>
      <c r="J34" s="579" t="s">
        <v>1248</v>
      </c>
      <c r="K34" s="168"/>
      <c r="L34" s="168"/>
      <c r="M34" s="1409" t="s">
        <v>473</v>
      </c>
      <c r="N34" s="168"/>
      <c r="O34" s="168"/>
      <c r="P34" s="313"/>
      <c r="Q34" s="1220">
        <f t="shared" si="0"/>
        <v>0</v>
      </c>
      <c r="R34" s="501">
        <f t="shared" si="2"/>
        <v>0</v>
      </c>
      <c r="S34" s="587">
        <f t="shared" si="1"/>
        <v>0</v>
      </c>
    </row>
    <row r="35" spans="1:19" x14ac:dyDescent="0.35">
      <c r="A35" s="1039" t="s">
        <v>1249</v>
      </c>
      <c r="B35" s="179"/>
      <c r="C35" s="577"/>
      <c r="D35" s="928" t="str">
        <f>IFERROR((VLOOKUP(B35,'Spend mapping'!$A$11:$C$123,3,0)),"")</f>
        <v/>
      </c>
      <c r="E35" s="168"/>
      <c r="F35" s="168"/>
      <c r="G35" s="577"/>
      <c r="H35" s="577"/>
      <c r="I35" s="577"/>
      <c r="J35" s="579"/>
      <c r="K35" s="168"/>
      <c r="L35" s="168"/>
      <c r="M35" s="1409" t="s">
        <v>473</v>
      </c>
      <c r="N35" s="168"/>
      <c r="O35" s="168">
        <v>2040</v>
      </c>
      <c r="P35" s="313"/>
      <c r="Q35" s="1220">
        <f t="shared" si="0"/>
        <v>0</v>
      </c>
      <c r="R35" s="501">
        <f t="shared" si="2"/>
        <v>0</v>
      </c>
      <c r="S35" s="587">
        <f t="shared" si="1"/>
        <v>0</v>
      </c>
    </row>
    <row r="36" spans="1:19" x14ac:dyDescent="0.35">
      <c r="A36" s="1039" t="s">
        <v>1250</v>
      </c>
      <c r="B36" s="179"/>
      <c r="C36" s="577"/>
      <c r="D36" s="928" t="str">
        <f>IFERROR((VLOOKUP(B36,'Spend mapping'!$A$11:$C$123,3,0)),"")</f>
        <v/>
      </c>
      <c r="E36" s="168"/>
      <c r="F36" s="168"/>
      <c r="G36" s="577"/>
      <c r="H36" s="577"/>
      <c r="I36" s="577"/>
      <c r="J36" s="579"/>
      <c r="K36" s="168"/>
      <c r="L36" s="168"/>
      <c r="M36" s="1409" t="s">
        <v>473</v>
      </c>
      <c r="N36" s="168"/>
      <c r="O36" s="168">
        <v>2020</v>
      </c>
      <c r="P36" s="313"/>
      <c r="Q36" s="1220">
        <f t="shared" si="0"/>
        <v>0</v>
      </c>
      <c r="R36" s="501">
        <f t="shared" si="2"/>
        <v>0</v>
      </c>
      <c r="S36" s="587">
        <f t="shared" si="1"/>
        <v>0</v>
      </c>
    </row>
    <row r="37" spans="1:19" x14ac:dyDescent="0.35">
      <c r="A37" s="1039" t="s">
        <v>1251</v>
      </c>
      <c r="B37" s="179"/>
      <c r="C37" s="577"/>
      <c r="D37" s="928" t="str">
        <f>IFERROR((VLOOKUP(B37,'Spend mapping'!$A$11:$C$123,3,0)),"")</f>
        <v/>
      </c>
      <c r="E37" s="168"/>
      <c r="F37" s="168"/>
      <c r="G37" s="577"/>
      <c r="H37" s="577"/>
      <c r="I37" s="577"/>
      <c r="J37" s="579"/>
      <c r="K37" s="168"/>
      <c r="L37" s="168"/>
      <c r="M37" s="1409" t="s">
        <v>473</v>
      </c>
      <c r="N37" s="168"/>
      <c r="O37" s="168">
        <v>2030</v>
      </c>
      <c r="P37" s="313"/>
      <c r="Q37" s="1220">
        <f t="shared" si="0"/>
        <v>0</v>
      </c>
      <c r="R37" s="501">
        <f t="shared" si="2"/>
        <v>0</v>
      </c>
      <c r="S37" s="587">
        <f t="shared" si="1"/>
        <v>0</v>
      </c>
    </row>
    <row r="38" spans="1:19" x14ac:dyDescent="0.35">
      <c r="A38" s="1039" t="s">
        <v>1252</v>
      </c>
      <c r="B38" s="179"/>
      <c r="C38" s="577"/>
      <c r="D38" s="928" t="str">
        <f>IFERROR((VLOOKUP(B38,'Spend mapping'!$A$11:$C$123,3,0)),"")</f>
        <v/>
      </c>
      <c r="E38" s="168"/>
      <c r="F38" s="168"/>
      <c r="G38" s="577"/>
      <c r="H38" s="577"/>
      <c r="I38" s="577"/>
      <c r="J38" s="579"/>
      <c r="K38" s="168"/>
      <c r="L38" s="168"/>
      <c r="M38" s="1409" t="s">
        <v>473</v>
      </c>
      <c r="N38" s="168"/>
      <c r="O38" s="168">
        <v>2025</v>
      </c>
      <c r="P38" s="313"/>
      <c r="Q38" s="1220">
        <f t="shared" si="0"/>
        <v>0</v>
      </c>
      <c r="R38" s="501">
        <f t="shared" si="2"/>
        <v>0</v>
      </c>
      <c r="S38" s="587">
        <f t="shared" si="1"/>
        <v>0</v>
      </c>
    </row>
    <row r="39" spans="1:19" x14ac:dyDescent="0.35">
      <c r="A39" s="1039" t="s">
        <v>1253</v>
      </c>
      <c r="B39" s="179"/>
      <c r="C39" s="577"/>
      <c r="D39" s="928" t="str">
        <f>IFERROR((VLOOKUP(B39,'Spend mapping'!$A$11:$C$123,3,0)),"")</f>
        <v/>
      </c>
      <c r="E39" s="168"/>
      <c r="F39" s="168"/>
      <c r="G39" s="577"/>
      <c r="H39" s="577"/>
      <c r="I39" s="577"/>
      <c r="J39" s="579"/>
      <c r="K39" s="168"/>
      <c r="L39" s="168"/>
      <c r="M39" s="1409" t="s">
        <v>473</v>
      </c>
      <c r="N39" s="168"/>
      <c r="O39" s="168">
        <v>2030</v>
      </c>
      <c r="P39" s="313"/>
      <c r="Q39" s="1220">
        <f t="shared" si="0"/>
        <v>0</v>
      </c>
      <c r="R39" s="501">
        <f t="shared" si="2"/>
        <v>0</v>
      </c>
      <c r="S39" s="587">
        <f t="shared" si="1"/>
        <v>0</v>
      </c>
    </row>
    <row r="40" spans="1:19" x14ac:dyDescent="0.35">
      <c r="A40" s="1039" t="s">
        <v>1254</v>
      </c>
      <c r="B40" s="179"/>
      <c r="C40" s="577"/>
      <c r="D40" s="928" t="str">
        <f>IFERROR((VLOOKUP(B40,'Spend mapping'!$A$11:$C$123,3,0)),"")</f>
        <v/>
      </c>
      <c r="E40" s="168"/>
      <c r="F40" s="168"/>
      <c r="G40" s="577"/>
      <c r="H40" s="577"/>
      <c r="I40" s="577"/>
      <c r="J40" s="579"/>
      <c r="K40" s="168"/>
      <c r="L40" s="168"/>
      <c r="M40" s="1409" t="s">
        <v>473</v>
      </c>
      <c r="N40" s="168"/>
      <c r="O40" s="168">
        <v>2060</v>
      </c>
      <c r="P40" s="313"/>
      <c r="Q40" s="1220">
        <f t="shared" si="0"/>
        <v>0</v>
      </c>
      <c r="R40" s="501">
        <f t="shared" si="2"/>
        <v>0</v>
      </c>
      <c r="S40" s="587">
        <f t="shared" si="1"/>
        <v>0</v>
      </c>
    </row>
    <row r="41" spans="1:19" x14ac:dyDescent="0.35">
      <c r="A41" s="1039"/>
      <c r="B41" s="179"/>
      <c r="C41" s="577"/>
      <c r="D41" s="928" t="str">
        <f>IFERROR((VLOOKUP(B41,'Spend mapping'!$A$11:$C$123,3,0)),"")</f>
        <v/>
      </c>
      <c r="E41" s="168"/>
      <c r="F41" s="168"/>
      <c r="G41" s="577"/>
      <c r="H41" s="577"/>
      <c r="I41" s="577"/>
      <c r="J41" s="579"/>
      <c r="K41" s="168"/>
      <c r="L41" s="168"/>
      <c r="M41" s="168"/>
      <c r="N41" s="168"/>
      <c r="O41" s="168"/>
      <c r="P41" s="313"/>
      <c r="Q41" s="1220">
        <f t="shared" si="0"/>
        <v>0</v>
      </c>
      <c r="R41" s="501">
        <f t="shared" si="2"/>
        <v>0</v>
      </c>
      <c r="S41" s="587">
        <f t="shared" si="1"/>
        <v>0</v>
      </c>
    </row>
    <row r="42" spans="1:19" x14ac:dyDescent="0.35">
      <c r="A42" s="1039"/>
      <c r="B42" s="179"/>
      <c r="C42" s="577"/>
      <c r="D42" s="928" t="str">
        <f>IFERROR((VLOOKUP(B42,'Spend mapping'!$A$11:$C$123,3,0)),"")</f>
        <v/>
      </c>
      <c r="E42" s="168"/>
      <c r="F42" s="168"/>
      <c r="G42" s="577"/>
      <c r="H42" s="577"/>
      <c r="I42" s="577"/>
      <c r="J42" s="579"/>
      <c r="K42" s="168"/>
      <c r="L42" s="168"/>
      <c r="M42" s="168"/>
      <c r="N42" s="168"/>
      <c r="O42" s="168"/>
      <c r="P42" s="313"/>
      <c r="Q42" s="1220">
        <f t="shared" si="0"/>
        <v>0</v>
      </c>
      <c r="R42" s="501">
        <f t="shared" si="2"/>
        <v>0</v>
      </c>
      <c r="S42" s="587">
        <f t="shared" si="1"/>
        <v>0</v>
      </c>
    </row>
    <row r="43" spans="1:19" x14ac:dyDescent="0.35">
      <c r="A43" s="1039"/>
      <c r="B43" s="179"/>
      <c r="C43" s="577"/>
      <c r="D43" s="928" t="str">
        <f>IFERROR((VLOOKUP(B43,'Spend mapping'!$A$11:$C$123,3,0)),"")</f>
        <v/>
      </c>
      <c r="E43" s="168"/>
      <c r="F43" s="168"/>
      <c r="G43" s="577"/>
      <c r="H43" s="577"/>
      <c r="I43" s="577"/>
      <c r="J43" s="579"/>
      <c r="K43" s="168"/>
      <c r="L43" s="168"/>
      <c r="M43" s="168"/>
      <c r="N43" s="168"/>
      <c r="O43" s="168"/>
      <c r="P43" s="313"/>
      <c r="Q43" s="1220">
        <f t="shared" si="0"/>
        <v>0</v>
      </c>
      <c r="R43" s="501">
        <f t="shared" si="2"/>
        <v>0</v>
      </c>
      <c r="S43" s="587">
        <f t="shared" si="1"/>
        <v>0</v>
      </c>
    </row>
    <row r="44" spans="1:19" x14ac:dyDescent="0.35">
      <c r="A44" s="1039"/>
      <c r="B44" s="179"/>
      <c r="C44" s="577"/>
      <c r="D44" s="928" t="str">
        <f>IFERROR((VLOOKUP(B44,'Spend mapping'!$A$11:$C$123,3,0)),"")</f>
        <v/>
      </c>
      <c r="E44" s="168"/>
      <c r="F44" s="168"/>
      <c r="G44" s="577"/>
      <c r="H44" s="577"/>
      <c r="I44" s="577"/>
      <c r="J44" s="579"/>
      <c r="K44" s="168"/>
      <c r="L44" s="168"/>
      <c r="M44" s="168"/>
      <c r="N44" s="168"/>
      <c r="O44" s="168"/>
      <c r="P44" s="313"/>
      <c r="Q44" s="1220">
        <f t="shared" si="0"/>
        <v>0</v>
      </c>
      <c r="R44" s="501">
        <f t="shared" si="2"/>
        <v>0</v>
      </c>
      <c r="S44" s="587">
        <f t="shared" si="1"/>
        <v>0</v>
      </c>
    </row>
    <row r="45" spans="1:19" x14ac:dyDescent="0.35">
      <c r="A45" s="1039"/>
      <c r="B45" s="179"/>
      <c r="C45" s="577"/>
      <c r="D45" s="928" t="str">
        <f>IFERROR((VLOOKUP(B45,'Spend mapping'!$A$11:$C$123,3,0)),"")</f>
        <v/>
      </c>
      <c r="E45" s="168"/>
      <c r="F45" s="168"/>
      <c r="G45" s="577"/>
      <c r="H45" s="577"/>
      <c r="I45" s="577"/>
      <c r="J45" s="579"/>
      <c r="K45" s="168"/>
      <c r="L45" s="168"/>
      <c r="M45" s="168"/>
      <c r="N45" s="168"/>
      <c r="O45" s="168"/>
      <c r="P45" s="313"/>
      <c r="Q45" s="1220">
        <f t="shared" ref="Q45:Q76" si="3">E45*C45</f>
        <v>0</v>
      </c>
      <c r="R45" s="501">
        <f t="shared" si="2"/>
        <v>0</v>
      </c>
      <c r="S45" s="587">
        <f t="shared" ref="S45:S76" si="4">K45*C45</f>
        <v>0</v>
      </c>
    </row>
    <row r="46" spans="1:19" x14ac:dyDescent="0.35">
      <c r="A46" s="1039"/>
      <c r="B46" s="179"/>
      <c r="C46" s="577"/>
      <c r="D46" s="928" t="str">
        <f>IFERROR((VLOOKUP(B46,'Spend mapping'!$A$11:$C$123,3,0)),"")</f>
        <v/>
      </c>
      <c r="E46" s="168"/>
      <c r="F46" s="168"/>
      <c r="G46" s="577"/>
      <c r="H46" s="577"/>
      <c r="I46" s="577"/>
      <c r="J46" s="579"/>
      <c r="K46" s="168"/>
      <c r="L46" s="168"/>
      <c r="M46" s="168"/>
      <c r="N46" s="168"/>
      <c r="O46" s="168"/>
      <c r="P46" s="313"/>
      <c r="Q46" s="1220">
        <f t="shared" si="3"/>
        <v>0</v>
      </c>
      <c r="R46" s="501">
        <f t="shared" ref="R46:R77" si="5">C46*G46</f>
        <v>0</v>
      </c>
      <c r="S46" s="587">
        <f t="shared" si="4"/>
        <v>0</v>
      </c>
    </row>
    <row r="47" spans="1:19" x14ac:dyDescent="0.35">
      <c r="A47" s="1039"/>
      <c r="B47" s="179"/>
      <c r="C47" s="577"/>
      <c r="D47" s="928" t="str">
        <f>IFERROR((VLOOKUP(B47,'Spend mapping'!$A$11:$C$123,3,0)),"")</f>
        <v/>
      </c>
      <c r="E47" s="168"/>
      <c r="F47" s="168"/>
      <c r="G47" s="577"/>
      <c r="H47" s="577"/>
      <c r="I47" s="577"/>
      <c r="J47" s="579"/>
      <c r="K47" s="168"/>
      <c r="L47" s="168"/>
      <c r="M47" s="168"/>
      <c r="N47" s="168"/>
      <c r="O47" s="168"/>
      <c r="P47" s="313"/>
      <c r="Q47" s="1220">
        <f t="shared" si="3"/>
        <v>0</v>
      </c>
      <c r="R47" s="501">
        <f t="shared" si="5"/>
        <v>0</v>
      </c>
      <c r="S47" s="587">
        <f t="shared" si="4"/>
        <v>0</v>
      </c>
    </row>
    <row r="48" spans="1:19" x14ac:dyDescent="0.35">
      <c r="A48" s="1039"/>
      <c r="B48" s="179"/>
      <c r="C48" s="577"/>
      <c r="D48" s="928" t="str">
        <f>IFERROR((VLOOKUP(B48,'Spend mapping'!$A$11:$C$123,3,0)),"")</f>
        <v/>
      </c>
      <c r="E48" s="168"/>
      <c r="F48" s="168"/>
      <c r="G48" s="577"/>
      <c r="H48" s="577"/>
      <c r="I48" s="577"/>
      <c r="J48" s="579"/>
      <c r="K48" s="168"/>
      <c r="L48" s="168"/>
      <c r="M48" s="168"/>
      <c r="N48" s="168"/>
      <c r="O48" s="168"/>
      <c r="P48" s="313"/>
      <c r="Q48" s="1220">
        <f t="shared" si="3"/>
        <v>0</v>
      </c>
      <c r="R48" s="501">
        <f t="shared" si="5"/>
        <v>0</v>
      </c>
      <c r="S48" s="587">
        <f t="shared" si="4"/>
        <v>0</v>
      </c>
    </row>
    <row r="49" spans="1:19" x14ac:dyDescent="0.35">
      <c r="A49" s="1039"/>
      <c r="B49" s="179"/>
      <c r="C49" s="577"/>
      <c r="D49" s="928" t="str">
        <f>IFERROR((VLOOKUP(B49,'Spend mapping'!$A$11:$C$123,3,0)),"")</f>
        <v/>
      </c>
      <c r="E49" s="168"/>
      <c r="F49" s="168"/>
      <c r="G49" s="577"/>
      <c r="H49" s="577"/>
      <c r="I49" s="577"/>
      <c r="J49" s="579"/>
      <c r="K49" s="168"/>
      <c r="L49" s="168"/>
      <c r="M49" s="168"/>
      <c r="N49" s="168"/>
      <c r="O49" s="168"/>
      <c r="P49" s="313"/>
      <c r="Q49" s="1220">
        <f t="shared" si="3"/>
        <v>0</v>
      </c>
      <c r="R49" s="501">
        <f t="shared" si="5"/>
        <v>0</v>
      </c>
      <c r="S49" s="587">
        <f t="shared" si="4"/>
        <v>0</v>
      </c>
    </row>
    <row r="50" spans="1:19" x14ac:dyDescent="0.35">
      <c r="A50" s="1039"/>
      <c r="B50" s="179"/>
      <c r="C50" s="577"/>
      <c r="D50" s="928" t="str">
        <f>IFERROR((VLOOKUP(B50,'Spend mapping'!$A$11:$C$123,3,0)),"")</f>
        <v/>
      </c>
      <c r="E50" s="168"/>
      <c r="F50" s="168"/>
      <c r="G50" s="577"/>
      <c r="H50" s="577"/>
      <c r="I50" s="577"/>
      <c r="J50" s="579"/>
      <c r="K50" s="168"/>
      <c r="L50" s="168"/>
      <c r="M50" s="168"/>
      <c r="N50" s="168"/>
      <c r="O50" s="168"/>
      <c r="P50" s="313"/>
      <c r="Q50" s="1220">
        <f t="shared" si="3"/>
        <v>0</v>
      </c>
      <c r="R50" s="501">
        <f t="shared" si="5"/>
        <v>0</v>
      </c>
      <c r="S50" s="587">
        <f t="shared" si="4"/>
        <v>0</v>
      </c>
    </row>
    <row r="51" spans="1:19" x14ac:dyDescent="0.35">
      <c r="A51" s="1039"/>
      <c r="B51" s="179"/>
      <c r="C51" s="577"/>
      <c r="D51" s="928" t="str">
        <f>IFERROR((VLOOKUP(B51,'Spend mapping'!$A$11:$C$123,3,0)),"")</f>
        <v/>
      </c>
      <c r="E51" s="168"/>
      <c r="F51" s="168"/>
      <c r="G51" s="577"/>
      <c r="H51" s="577"/>
      <c r="I51" s="577"/>
      <c r="J51" s="579"/>
      <c r="K51" s="168"/>
      <c r="L51" s="168"/>
      <c r="M51" s="168"/>
      <c r="N51" s="168"/>
      <c r="O51" s="168"/>
      <c r="P51" s="313"/>
      <c r="Q51" s="1220">
        <f t="shared" si="3"/>
        <v>0</v>
      </c>
      <c r="R51" s="501">
        <f t="shared" si="5"/>
        <v>0</v>
      </c>
      <c r="S51" s="587">
        <f t="shared" si="4"/>
        <v>0</v>
      </c>
    </row>
    <row r="52" spans="1:19" x14ac:dyDescent="0.35">
      <c r="A52" s="1039"/>
      <c r="B52" s="179"/>
      <c r="C52" s="577"/>
      <c r="D52" s="928" t="str">
        <f>IFERROR((VLOOKUP(B52,'Spend mapping'!$A$11:$C$123,3,0)),"")</f>
        <v/>
      </c>
      <c r="E52" s="168"/>
      <c r="F52" s="168"/>
      <c r="G52" s="577"/>
      <c r="H52" s="577"/>
      <c r="I52" s="577"/>
      <c r="J52" s="579"/>
      <c r="K52" s="168"/>
      <c r="L52" s="168"/>
      <c r="M52" s="168"/>
      <c r="N52" s="168"/>
      <c r="O52" s="168"/>
      <c r="P52" s="313"/>
      <c r="Q52" s="1220">
        <f t="shared" si="3"/>
        <v>0</v>
      </c>
      <c r="R52" s="501">
        <f t="shared" si="5"/>
        <v>0</v>
      </c>
      <c r="S52" s="587">
        <f t="shared" si="4"/>
        <v>0</v>
      </c>
    </row>
    <row r="53" spans="1:19" x14ac:dyDescent="0.35">
      <c r="A53" s="1039"/>
      <c r="B53" s="179"/>
      <c r="C53" s="577"/>
      <c r="D53" s="928" t="str">
        <f>IFERROR((VLOOKUP(B53,'Spend mapping'!$A$11:$C$123,3,0)),"")</f>
        <v/>
      </c>
      <c r="E53" s="168"/>
      <c r="F53" s="168"/>
      <c r="G53" s="577"/>
      <c r="H53" s="577"/>
      <c r="I53" s="577"/>
      <c r="J53" s="579"/>
      <c r="K53" s="168"/>
      <c r="L53" s="168"/>
      <c r="M53" s="168"/>
      <c r="N53" s="168"/>
      <c r="O53" s="168"/>
      <c r="P53" s="313"/>
      <c r="Q53" s="1220">
        <f t="shared" si="3"/>
        <v>0</v>
      </c>
      <c r="R53" s="501">
        <f t="shared" si="5"/>
        <v>0</v>
      </c>
      <c r="S53" s="587">
        <f t="shared" si="4"/>
        <v>0</v>
      </c>
    </row>
    <row r="54" spans="1:19" x14ac:dyDescent="0.35">
      <c r="A54" s="1039"/>
      <c r="B54" s="179"/>
      <c r="C54" s="577"/>
      <c r="D54" s="928" t="str">
        <f>IFERROR((VLOOKUP(B54,'Spend mapping'!$A$11:$C$123,3,0)),"")</f>
        <v/>
      </c>
      <c r="E54" s="168"/>
      <c r="F54" s="168"/>
      <c r="G54" s="577"/>
      <c r="H54" s="577"/>
      <c r="I54" s="577"/>
      <c r="J54" s="579"/>
      <c r="K54" s="168"/>
      <c r="L54" s="168"/>
      <c r="M54" s="168"/>
      <c r="N54" s="168"/>
      <c r="O54" s="168"/>
      <c r="P54" s="313"/>
      <c r="Q54" s="1220">
        <f t="shared" si="3"/>
        <v>0</v>
      </c>
      <c r="R54" s="501">
        <f t="shared" si="5"/>
        <v>0</v>
      </c>
      <c r="S54" s="587">
        <f t="shared" si="4"/>
        <v>0</v>
      </c>
    </row>
    <row r="55" spans="1:19" x14ac:dyDescent="0.35">
      <c r="A55" s="1039"/>
      <c r="B55" s="179"/>
      <c r="C55" s="577"/>
      <c r="D55" s="928" t="str">
        <f>IFERROR((VLOOKUP(B55,'Spend mapping'!$A$11:$C$123,3,0)),"")</f>
        <v/>
      </c>
      <c r="E55" s="168"/>
      <c r="F55" s="168"/>
      <c r="G55" s="577"/>
      <c r="H55" s="577"/>
      <c r="I55" s="577"/>
      <c r="J55" s="579"/>
      <c r="K55" s="168"/>
      <c r="L55" s="168"/>
      <c r="M55" s="168"/>
      <c r="N55" s="168"/>
      <c r="O55" s="168"/>
      <c r="P55" s="313"/>
      <c r="Q55" s="1220">
        <f t="shared" si="3"/>
        <v>0</v>
      </c>
      <c r="R55" s="501">
        <f t="shared" si="5"/>
        <v>0</v>
      </c>
      <c r="S55" s="587">
        <f t="shared" si="4"/>
        <v>0</v>
      </c>
    </row>
    <row r="56" spans="1:19" x14ac:dyDescent="0.35">
      <c r="A56" s="1039"/>
      <c r="B56" s="179"/>
      <c r="C56" s="577"/>
      <c r="D56" s="928" t="str">
        <f>IFERROR((VLOOKUP(B56,'Spend mapping'!$A$11:$C$123,3,0)),"")</f>
        <v/>
      </c>
      <c r="E56" s="168"/>
      <c r="F56" s="168"/>
      <c r="G56" s="577"/>
      <c r="H56" s="577"/>
      <c r="I56" s="577"/>
      <c r="J56" s="579"/>
      <c r="K56" s="168"/>
      <c r="L56" s="168"/>
      <c r="M56" s="168"/>
      <c r="N56" s="168"/>
      <c r="O56" s="168"/>
      <c r="P56" s="313"/>
      <c r="Q56" s="1220">
        <f t="shared" si="3"/>
        <v>0</v>
      </c>
      <c r="R56" s="501">
        <f t="shared" si="5"/>
        <v>0</v>
      </c>
      <c r="S56" s="587">
        <f t="shared" si="4"/>
        <v>0</v>
      </c>
    </row>
    <row r="57" spans="1:19" x14ac:dyDescent="0.35">
      <c r="A57" s="1039"/>
      <c r="B57" s="179"/>
      <c r="C57" s="577"/>
      <c r="D57" s="928" t="str">
        <f>IFERROR((VLOOKUP(B57,'Spend mapping'!$A$11:$C$123,3,0)),"")</f>
        <v/>
      </c>
      <c r="E57" s="168"/>
      <c r="F57" s="168"/>
      <c r="G57" s="577"/>
      <c r="H57" s="577"/>
      <c r="I57" s="577"/>
      <c r="J57" s="579"/>
      <c r="K57" s="168"/>
      <c r="L57" s="168"/>
      <c r="M57" s="168"/>
      <c r="N57" s="168"/>
      <c r="O57" s="168"/>
      <c r="P57" s="313"/>
      <c r="Q57" s="1220">
        <f t="shared" si="3"/>
        <v>0</v>
      </c>
      <c r="R57" s="501">
        <f t="shared" si="5"/>
        <v>0</v>
      </c>
      <c r="S57" s="587">
        <f t="shared" si="4"/>
        <v>0</v>
      </c>
    </row>
    <row r="58" spans="1:19" x14ac:dyDescent="0.35">
      <c r="A58" s="1039"/>
      <c r="B58" s="179"/>
      <c r="C58" s="577"/>
      <c r="D58" s="928" t="str">
        <f>IFERROR((VLOOKUP(B58,'Spend mapping'!$A$11:$C$123,3,0)),"")</f>
        <v/>
      </c>
      <c r="E58" s="168"/>
      <c r="F58" s="168"/>
      <c r="G58" s="577"/>
      <c r="H58" s="577"/>
      <c r="I58" s="577"/>
      <c r="J58" s="579"/>
      <c r="K58" s="168"/>
      <c r="L58" s="168"/>
      <c r="M58" s="168"/>
      <c r="N58" s="168"/>
      <c r="O58" s="168"/>
      <c r="P58" s="313"/>
      <c r="Q58" s="1220">
        <f t="shared" si="3"/>
        <v>0</v>
      </c>
      <c r="R58" s="501">
        <f t="shared" si="5"/>
        <v>0</v>
      </c>
      <c r="S58" s="587">
        <f t="shared" si="4"/>
        <v>0</v>
      </c>
    </row>
    <row r="59" spans="1:19" x14ac:dyDescent="0.35">
      <c r="A59" s="1039"/>
      <c r="B59" s="179"/>
      <c r="C59" s="577"/>
      <c r="D59" s="928" t="str">
        <f>IFERROR((VLOOKUP(B59,'Spend mapping'!$A$11:$C$123,3,0)),"")</f>
        <v/>
      </c>
      <c r="E59" s="168"/>
      <c r="F59" s="168"/>
      <c r="G59" s="577"/>
      <c r="H59" s="577"/>
      <c r="I59" s="577"/>
      <c r="J59" s="579"/>
      <c r="K59" s="168"/>
      <c r="L59" s="168"/>
      <c r="M59" s="168"/>
      <c r="N59" s="168"/>
      <c r="O59" s="168"/>
      <c r="P59" s="313"/>
      <c r="Q59" s="1220">
        <f t="shared" si="3"/>
        <v>0</v>
      </c>
      <c r="R59" s="501">
        <f t="shared" si="5"/>
        <v>0</v>
      </c>
      <c r="S59" s="587">
        <f t="shared" si="4"/>
        <v>0</v>
      </c>
    </row>
    <row r="60" spans="1:19" x14ac:dyDescent="0.35">
      <c r="A60" s="1039"/>
      <c r="B60" s="179"/>
      <c r="C60" s="577"/>
      <c r="D60" s="928" t="str">
        <f>IFERROR((VLOOKUP(B60,'Spend mapping'!$A$11:$C$123,3,0)),"")</f>
        <v/>
      </c>
      <c r="E60" s="168"/>
      <c r="F60" s="168"/>
      <c r="G60" s="577"/>
      <c r="H60" s="577"/>
      <c r="I60" s="577"/>
      <c r="J60" s="579"/>
      <c r="K60" s="168"/>
      <c r="L60" s="168"/>
      <c r="M60" s="168"/>
      <c r="N60" s="168"/>
      <c r="O60" s="168"/>
      <c r="P60" s="313"/>
      <c r="Q60" s="1220">
        <f t="shared" si="3"/>
        <v>0</v>
      </c>
      <c r="R60" s="501">
        <f t="shared" si="5"/>
        <v>0</v>
      </c>
      <c r="S60" s="587">
        <f t="shared" si="4"/>
        <v>0</v>
      </c>
    </row>
    <row r="61" spans="1:19" x14ac:dyDescent="0.35">
      <c r="A61" s="1039"/>
      <c r="B61" s="179"/>
      <c r="C61" s="577"/>
      <c r="D61" s="928" t="str">
        <f>IFERROR((VLOOKUP(B61,'Spend mapping'!$A$11:$C$123,3,0)),"")</f>
        <v/>
      </c>
      <c r="E61" s="168"/>
      <c r="F61" s="168"/>
      <c r="G61" s="577"/>
      <c r="H61" s="577"/>
      <c r="I61" s="577"/>
      <c r="J61" s="579"/>
      <c r="K61" s="168"/>
      <c r="L61" s="168"/>
      <c r="M61" s="168"/>
      <c r="N61" s="168"/>
      <c r="O61" s="168"/>
      <c r="P61" s="313"/>
      <c r="Q61" s="1220">
        <f t="shared" si="3"/>
        <v>0</v>
      </c>
      <c r="R61" s="501">
        <f t="shared" si="5"/>
        <v>0</v>
      </c>
      <c r="S61" s="587">
        <f t="shared" si="4"/>
        <v>0</v>
      </c>
    </row>
    <row r="62" spans="1:19" x14ac:dyDescent="0.35">
      <c r="A62" s="1039"/>
      <c r="B62" s="179"/>
      <c r="C62" s="577"/>
      <c r="D62" s="928" t="str">
        <f>IFERROR((VLOOKUP(B62,'Spend mapping'!$A$11:$C$123,3,0)),"")</f>
        <v/>
      </c>
      <c r="E62" s="168"/>
      <c r="F62" s="168"/>
      <c r="G62" s="577"/>
      <c r="H62" s="577"/>
      <c r="I62" s="577"/>
      <c r="J62" s="579"/>
      <c r="K62" s="168"/>
      <c r="L62" s="168"/>
      <c r="M62" s="168"/>
      <c r="N62" s="168"/>
      <c r="O62" s="168"/>
      <c r="P62" s="313"/>
      <c r="Q62" s="1220">
        <f t="shared" si="3"/>
        <v>0</v>
      </c>
      <c r="R62" s="501">
        <f t="shared" si="5"/>
        <v>0</v>
      </c>
      <c r="S62" s="587">
        <f t="shared" si="4"/>
        <v>0</v>
      </c>
    </row>
    <row r="63" spans="1:19" x14ac:dyDescent="0.35">
      <c r="A63" s="1039"/>
      <c r="B63" s="179"/>
      <c r="C63" s="577"/>
      <c r="D63" s="928" t="str">
        <f>IFERROR((VLOOKUP(B63,'Spend mapping'!$A$11:$C$123,3,0)),"")</f>
        <v/>
      </c>
      <c r="E63" s="168"/>
      <c r="F63" s="168"/>
      <c r="G63" s="577"/>
      <c r="H63" s="577"/>
      <c r="I63" s="577"/>
      <c r="J63" s="579"/>
      <c r="K63" s="168"/>
      <c r="L63" s="168"/>
      <c r="M63" s="168"/>
      <c r="N63" s="168"/>
      <c r="O63" s="168"/>
      <c r="P63" s="313"/>
      <c r="Q63" s="1220">
        <f t="shared" si="3"/>
        <v>0</v>
      </c>
      <c r="R63" s="501">
        <f t="shared" si="5"/>
        <v>0</v>
      </c>
      <c r="S63" s="587">
        <f t="shared" si="4"/>
        <v>0</v>
      </c>
    </row>
    <row r="64" spans="1:19" x14ac:dyDescent="0.35">
      <c r="A64" s="1039"/>
      <c r="B64" s="179"/>
      <c r="C64" s="577"/>
      <c r="D64" s="928" t="str">
        <f>IFERROR((VLOOKUP(B64,'Spend mapping'!$A$11:$C$123,3,0)),"")</f>
        <v/>
      </c>
      <c r="E64" s="168"/>
      <c r="F64" s="168"/>
      <c r="G64" s="577"/>
      <c r="H64" s="577"/>
      <c r="I64" s="577"/>
      <c r="J64" s="579"/>
      <c r="K64" s="168"/>
      <c r="L64" s="168"/>
      <c r="M64" s="168"/>
      <c r="N64" s="168"/>
      <c r="O64" s="168"/>
      <c r="P64" s="313"/>
      <c r="Q64" s="1220">
        <f t="shared" si="3"/>
        <v>0</v>
      </c>
      <c r="R64" s="501">
        <f t="shared" si="5"/>
        <v>0</v>
      </c>
      <c r="S64" s="587">
        <f t="shared" si="4"/>
        <v>0</v>
      </c>
    </row>
    <row r="65" spans="1:19" x14ac:dyDescent="0.35">
      <c r="A65" s="1039"/>
      <c r="B65" s="179"/>
      <c r="C65" s="577"/>
      <c r="D65" s="928" t="str">
        <f>IFERROR((VLOOKUP(B65,'Spend mapping'!$A$11:$C$123,3,0)),"")</f>
        <v/>
      </c>
      <c r="E65" s="168"/>
      <c r="F65" s="168"/>
      <c r="G65" s="577"/>
      <c r="H65" s="577"/>
      <c r="I65" s="577"/>
      <c r="J65" s="579"/>
      <c r="K65" s="168"/>
      <c r="L65" s="168"/>
      <c r="M65" s="168"/>
      <c r="N65" s="168"/>
      <c r="O65" s="168"/>
      <c r="P65" s="313"/>
      <c r="Q65" s="1220">
        <f t="shared" si="3"/>
        <v>0</v>
      </c>
      <c r="R65" s="501">
        <f t="shared" si="5"/>
        <v>0</v>
      </c>
      <c r="S65" s="587">
        <f t="shared" si="4"/>
        <v>0</v>
      </c>
    </row>
    <row r="66" spans="1:19" x14ac:dyDescent="0.35">
      <c r="A66" s="1039"/>
      <c r="B66" s="179"/>
      <c r="C66" s="577"/>
      <c r="D66" s="928" t="str">
        <f>IFERROR((VLOOKUP(B66,'Spend mapping'!$A$11:$C$123,3,0)),"")</f>
        <v/>
      </c>
      <c r="E66" s="168"/>
      <c r="F66" s="168"/>
      <c r="G66" s="577"/>
      <c r="H66" s="577"/>
      <c r="I66" s="577"/>
      <c r="J66" s="579"/>
      <c r="K66" s="168"/>
      <c r="L66" s="168"/>
      <c r="M66" s="168"/>
      <c r="N66" s="168"/>
      <c r="O66" s="168"/>
      <c r="P66" s="313"/>
      <c r="Q66" s="1220">
        <f t="shared" si="3"/>
        <v>0</v>
      </c>
      <c r="R66" s="501">
        <f t="shared" si="5"/>
        <v>0</v>
      </c>
      <c r="S66" s="587">
        <f t="shared" si="4"/>
        <v>0</v>
      </c>
    </row>
    <row r="67" spans="1:19" x14ac:dyDescent="0.35">
      <c r="A67" s="1039"/>
      <c r="B67" s="179"/>
      <c r="C67" s="577"/>
      <c r="D67" s="928" t="str">
        <f>IFERROR((VLOOKUP(B67,'Spend mapping'!$A$11:$C$123,3,0)),"")</f>
        <v/>
      </c>
      <c r="E67" s="168"/>
      <c r="F67" s="168"/>
      <c r="G67" s="577"/>
      <c r="H67" s="577"/>
      <c r="I67" s="577"/>
      <c r="J67" s="579"/>
      <c r="K67" s="168"/>
      <c r="L67" s="168"/>
      <c r="M67" s="168"/>
      <c r="N67" s="168"/>
      <c r="O67" s="168"/>
      <c r="P67" s="313"/>
      <c r="Q67" s="1220">
        <f t="shared" si="3"/>
        <v>0</v>
      </c>
      <c r="R67" s="501">
        <f t="shared" si="5"/>
        <v>0</v>
      </c>
      <c r="S67" s="587">
        <f t="shared" si="4"/>
        <v>0</v>
      </c>
    </row>
    <row r="68" spans="1:19" x14ac:dyDescent="0.35">
      <c r="A68" s="1039"/>
      <c r="B68" s="179"/>
      <c r="C68" s="577"/>
      <c r="D68" s="928" t="str">
        <f>IFERROR((VLOOKUP(B68,'Spend mapping'!$A$11:$C$123,3,0)),"")</f>
        <v/>
      </c>
      <c r="E68" s="168"/>
      <c r="F68" s="168"/>
      <c r="G68" s="577"/>
      <c r="H68" s="577"/>
      <c r="I68" s="577"/>
      <c r="J68" s="579"/>
      <c r="K68" s="168"/>
      <c r="L68" s="168"/>
      <c r="M68" s="168"/>
      <c r="N68" s="168"/>
      <c r="O68" s="168"/>
      <c r="P68" s="313"/>
      <c r="Q68" s="1220">
        <f t="shared" si="3"/>
        <v>0</v>
      </c>
      <c r="R68" s="501">
        <f t="shared" si="5"/>
        <v>0</v>
      </c>
      <c r="S68" s="587">
        <f t="shared" si="4"/>
        <v>0</v>
      </c>
    </row>
    <row r="69" spans="1:19" x14ac:dyDescent="0.35">
      <c r="A69" s="1039"/>
      <c r="B69" s="179"/>
      <c r="C69" s="577"/>
      <c r="D69" s="928" t="str">
        <f>IFERROR((VLOOKUP(B69,'Spend mapping'!$A$11:$C$123,3,0)),"")</f>
        <v/>
      </c>
      <c r="E69" s="168"/>
      <c r="F69" s="168"/>
      <c r="G69" s="577"/>
      <c r="H69" s="577"/>
      <c r="I69" s="577"/>
      <c r="J69" s="579"/>
      <c r="K69" s="168"/>
      <c r="L69" s="168"/>
      <c r="M69" s="168"/>
      <c r="N69" s="168"/>
      <c r="O69" s="168"/>
      <c r="P69" s="313"/>
      <c r="Q69" s="1220">
        <f t="shared" si="3"/>
        <v>0</v>
      </c>
      <c r="R69" s="501">
        <f t="shared" si="5"/>
        <v>0</v>
      </c>
      <c r="S69" s="587">
        <f t="shared" si="4"/>
        <v>0</v>
      </c>
    </row>
    <row r="70" spans="1:19" x14ac:dyDescent="0.35">
      <c r="A70" s="1039"/>
      <c r="B70" s="179"/>
      <c r="C70" s="577"/>
      <c r="D70" s="928" t="str">
        <f>IFERROR((VLOOKUP(B70,'Spend mapping'!$A$11:$C$123,3,0)),"")</f>
        <v/>
      </c>
      <c r="E70" s="168"/>
      <c r="F70" s="168"/>
      <c r="G70" s="577"/>
      <c r="H70" s="577"/>
      <c r="I70" s="577"/>
      <c r="J70" s="579"/>
      <c r="K70" s="168"/>
      <c r="L70" s="168"/>
      <c r="M70" s="168"/>
      <c r="N70" s="168"/>
      <c r="O70" s="168"/>
      <c r="P70" s="313"/>
      <c r="Q70" s="1220">
        <f t="shared" si="3"/>
        <v>0</v>
      </c>
      <c r="R70" s="501">
        <f t="shared" si="5"/>
        <v>0</v>
      </c>
      <c r="S70" s="587">
        <f t="shared" si="4"/>
        <v>0</v>
      </c>
    </row>
    <row r="71" spans="1:19" x14ac:dyDescent="0.35">
      <c r="A71" s="1039"/>
      <c r="B71" s="179"/>
      <c r="C71" s="577"/>
      <c r="D71" s="928" t="str">
        <f>IFERROR((VLOOKUP(B71,'Spend mapping'!$A$11:$C$123,3,0)),"")</f>
        <v/>
      </c>
      <c r="E71" s="168"/>
      <c r="F71" s="168"/>
      <c r="G71" s="577"/>
      <c r="H71" s="577"/>
      <c r="I71" s="577"/>
      <c r="J71" s="579"/>
      <c r="K71" s="168"/>
      <c r="L71" s="168"/>
      <c r="M71" s="168"/>
      <c r="N71" s="168"/>
      <c r="O71" s="168"/>
      <c r="P71" s="313"/>
      <c r="Q71" s="1220">
        <f t="shared" si="3"/>
        <v>0</v>
      </c>
      <c r="R71" s="501">
        <f t="shared" si="5"/>
        <v>0</v>
      </c>
      <c r="S71" s="587">
        <f t="shared" si="4"/>
        <v>0</v>
      </c>
    </row>
    <row r="72" spans="1:19" x14ac:dyDescent="0.35">
      <c r="A72" s="1039"/>
      <c r="B72" s="179"/>
      <c r="C72" s="577"/>
      <c r="D72" s="928" t="str">
        <f>IFERROR((VLOOKUP(B72,'Spend mapping'!$A$11:$C$123,3,0)),"")</f>
        <v/>
      </c>
      <c r="E72" s="168"/>
      <c r="F72" s="168"/>
      <c r="G72" s="577"/>
      <c r="H72" s="577"/>
      <c r="I72" s="577"/>
      <c r="J72" s="579"/>
      <c r="K72" s="168"/>
      <c r="L72" s="168"/>
      <c r="M72" s="168"/>
      <c r="N72" s="168"/>
      <c r="O72" s="168"/>
      <c r="P72" s="313"/>
      <c r="Q72" s="1220">
        <f t="shared" si="3"/>
        <v>0</v>
      </c>
      <c r="R72" s="501">
        <f t="shared" si="5"/>
        <v>0</v>
      </c>
      <c r="S72" s="587">
        <f t="shared" si="4"/>
        <v>0</v>
      </c>
    </row>
    <row r="73" spans="1:19" x14ac:dyDescent="0.35">
      <c r="A73" s="1039"/>
      <c r="B73" s="179"/>
      <c r="C73" s="577"/>
      <c r="D73" s="928" t="str">
        <f>IFERROR((VLOOKUP(B73,'Spend mapping'!$A$11:$C$123,3,0)),"")</f>
        <v/>
      </c>
      <c r="E73" s="168"/>
      <c r="F73" s="168"/>
      <c r="G73" s="577"/>
      <c r="H73" s="577"/>
      <c r="I73" s="577"/>
      <c r="J73" s="579"/>
      <c r="K73" s="168"/>
      <c r="L73" s="168"/>
      <c r="M73" s="168"/>
      <c r="N73" s="168"/>
      <c r="O73" s="168"/>
      <c r="P73" s="313"/>
      <c r="Q73" s="1220">
        <f t="shared" si="3"/>
        <v>0</v>
      </c>
      <c r="R73" s="501">
        <f t="shared" si="5"/>
        <v>0</v>
      </c>
      <c r="S73" s="587">
        <f t="shared" si="4"/>
        <v>0</v>
      </c>
    </row>
    <row r="74" spans="1:19" x14ac:dyDescent="0.35">
      <c r="A74" s="1039"/>
      <c r="B74" s="179"/>
      <c r="C74" s="577"/>
      <c r="D74" s="928" t="str">
        <f>IFERROR((VLOOKUP(B74,'Spend mapping'!$A$11:$C$123,3,0)),"")</f>
        <v/>
      </c>
      <c r="E74" s="168"/>
      <c r="F74" s="168"/>
      <c r="G74" s="577"/>
      <c r="H74" s="577"/>
      <c r="I74" s="577"/>
      <c r="J74" s="579"/>
      <c r="K74" s="168"/>
      <c r="L74" s="168"/>
      <c r="M74" s="168"/>
      <c r="N74" s="168"/>
      <c r="O74" s="168"/>
      <c r="P74" s="313"/>
      <c r="Q74" s="1220">
        <f t="shared" si="3"/>
        <v>0</v>
      </c>
      <c r="R74" s="501">
        <f t="shared" si="5"/>
        <v>0</v>
      </c>
      <c r="S74" s="587">
        <f t="shared" si="4"/>
        <v>0</v>
      </c>
    </row>
    <row r="75" spans="1:19" x14ac:dyDescent="0.35">
      <c r="A75" s="1039"/>
      <c r="B75" s="179"/>
      <c r="C75" s="577"/>
      <c r="D75" s="928" t="str">
        <f>IFERROR((VLOOKUP(B75,'Spend mapping'!$A$11:$C$123,3,0)),"")</f>
        <v/>
      </c>
      <c r="E75" s="168"/>
      <c r="F75" s="168"/>
      <c r="G75" s="577"/>
      <c r="H75" s="577"/>
      <c r="I75" s="577"/>
      <c r="J75" s="579"/>
      <c r="K75" s="168"/>
      <c r="L75" s="168"/>
      <c r="M75" s="168"/>
      <c r="N75" s="168"/>
      <c r="O75" s="168"/>
      <c r="P75" s="313"/>
      <c r="Q75" s="1220">
        <f t="shared" si="3"/>
        <v>0</v>
      </c>
      <c r="R75" s="501">
        <f t="shared" si="5"/>
        <v>0</v>
      </c>
      <c r="S75" s="587">
        <f t="shared" si="4"/>
        <v>0</v>
      </c>
    </row>
    <row r="76" spans="1:19" x14ac:dyDescent="0.35">
      <c r="A76" s="1039"/>
      <c r="B76" s="179"/>
      <c r="C76" s="577"/>
      <c r="D76" s="928" t="str">
        <f>IFERROR((VLOOKUP(B76,'Spend mapping'!$A$11:$C$123,3,0)),"")</f>
        <v/>
      </c>
      <c r="E76" s="168"/>
      <c r="F76" s="168"/>
      <c r="G76" s="577"/>
      <c r="H76" s="577"/>
      <c r="I76" s="577"/>
      <c r="J76" s="579"/>
      <c r="K76" s="168"/>
      <c r="L76" s="168"/>
      <c r="M76" s="168"/>
      <c r="N76" s="168"/>
      <c r="O76" s="168"/>
      <c r="P76" s="313"/>
      <c r="Q76" s="1220">
        <f t="shared" si="3"/>
        <v>0</v>
      </c>
      <c r="R76" s="501">
        <f t="shared" si="5"/>
        <v>0</v>
      </c>
      <c r="S76" s="587">
        <f t="shared" si="4"/>
        <v>0</v>
      </c>
    </row>
    <row r="77" spans="1:19" x14ac:dyDescent="0.35">
      <c r="A77" s="1039"/>
      <c r="B77" s="179"/>
      <c r="C77" s="577"/>
      <c r="D77" s="928" t="str">
        <f>IFERROR((VLOOKUP(B77,'Spend mapping'!$A$11:$C$123,3,0)),"")</f>
        <v/>
      </c>
      <c r="E77" s="168"/>
      <c r="F77" s="168"/>
      <c r="G77" s="577"/>
      <c r="H77" s="577"/>
      <c r="I77" s="577"/>
      <c r="J77" s="579"/>
      <c r="K77" s="168"/>
      <c r="L77" s="168"/>
      <c r="M77" s="168"/>
      <c r="N77" s="168"/>
      <c r="O77" s="168"/>
      <c r="P77" s="313"/>
      <c r="Q77" s="1220">
        <f t="shared" ref="Q77:Q108" si="6">E77*C77</f>
        <v>0</v>
      </c>
      <c r="R77" s="501">
        <f t="shared" si="5"/>
        <v>0</v>
      </c>
      <c r="S77" s="587">
        <f t="shared" ref="S77:S108" si="7">K77*C77</f>
        <v>0</v>
      </c>
    </row>
    <row r="78" spans="1:19" x14ac:dyDescent="0.35">
      <c r="A78" s="1039"/>
      <c r="B78" s="179"/>
      <c r="C78" s="577"/>
      <c r="D78" s="928" t="str">
        <f>IFERROR((VLOOKUP(B78,'Spend mapping'!$A$11:$C$123,3,0)),"")</f>
        <v/>
      </c>
      <c r="E78" s="168"/>
      <c r="F78" s="168"/>
      <c r="G78" s="577"/>
      <c r="H78" s="577"/>
      <c r="I78" s="577"/>
      <c r="J78" s="579"/>
      <c r="K78" s="168"/>
      <c r="L78" s="168"/>
      <c r="M78" s="168"/>
      <c r="N78" s="168"/>
      <c r="O78" s="168"/>
      <c r="P78" s="313"/>
      <c r="Q78" s="1220">
        <f t="shared" si="6"/>
        <v>0</v>
      </c>
      <c r="R78" s="501">
        <f t="shared" ref="R78:R109" si="8">C78*G78</f>
        <v>0</v>
      </c>
      <c r="S78" s="587">
        <f t="shared" si="7"/>
        <v>0</v>
      </c>
    </row>
    <row r="79" spans="1:19" x14ac:dyDescent="0.35">
      <c r="A79" s="1039"/>
      <c r="B79" s="179"/>
      <c r="C79" s="577"/>
      <c r="D79" s="928" t="str">
        <f>IFERROR((VLOOKUP(B79,'Spend mapping'!$A$11:$C$123,3,0)),"")</f>
        <v/>
      </c>
      <c r="E79" s="168"/>
      <c r="F79" s="168"/>
      <c r="G79" s="577"/>
      <c r="H79" s="577"/>
      <c r="I79" s="577"/>
      <c r="J79" s="579"/>
      <c r="K79" s="168"/>
      <c r="L79" s="168"/>
      <c r="M79" s="168"/>
      <c r="N79" s="168"/>
      <c r="O79" s="168"/>
      <c r="P79" s="313"/>
      <c r="Q79" s="1220">
        <f t="shared" si="6"/>
        <v>0</v>
      </c>
      <c r="R79" s="501">
        <f t="shared" si="8"/>
        <v>0</v>
      </c>
      <c r="S79" s="587">
        <f t="shared" si="7"/>
        <v>0</v>
      </c>
    </row>
    <row r="80" spans="1:19" x14ac:dyDescent="0.35">
      <c r="A80" s="1039"/>
      <c r="B80" s="179"/>
      <c r="C80" s="577"/>
      <c r="D80" s="928" t="str">
        <f>IFERROR((VLOOKUP(B80,'Spend mapping'!$A$11:$C$123,3,0)),"")</f>
        <v/>
      </c>
      <c r="E80" s="168"/>
      <c r="F80" s="168"/>
      <c r="G80" s="577"/>
      <c r="H80" s="577"/>
      <c r="I80" s="577"/>
      <c r="J80" s="579"/>
      <c r="K80" s="168"/>
      <c r="L80" s="168"/>
      <c r="M80" s="168"/>
      <c r="N80" s="168"/>
      <c r="O80" s="168"/>
      <c r="P80" s="313"/>
      <c r="Q80" s="1220">
        <f t="shared" si="6"/>
        <v>0</v>
      </c>
      <c r="R80" s="501">
        <f t="shared" si="8"/>
        <v>0</v>
      </c>
      <c r="S80" s="587">
        <f t="shared" si="7"/>
        <v>0</v>
      </c>
    </row>
    <row r="81" spans="1:19" x14ac:dyDescent="0.35">
      <c r="A81" s="1039"/>
      <c r="B81" s="179"/>
      <c r="C81" s="577"/>
      <c r="D81" s="928" t="str">
        <f>IFERROR((VLOOKUP(B81,'Spend mapping'!$A$11:$C$123,3,0)),"")</f>
        <v/>
      </c>
      <c r="E81" s="168"/>
      <c r="F81" s="168"/>
      <c r="G81" s="577"/>
      <c r="H81" s="577"/>
      <c r="I81" s="577"/>
      <c r="J81" s="579"/>
      <c r="K81" s="168"/>
      <c r="L81" s="168"/>
      <c r="M81" s="168"/>
      <c r="N81" s="168"/>
      <c r="O81" s="168"/>
      <c r="P81" s="313"/>
      <c r="Q81" s="1220">
        <f t="shared" si="6"/>
        <v>0</v>
      </c>
      <c r="R81" s="501">
        <f t="shared" si="8"/>
        <v>0</v>
      </c>
      <c r="S81" s="587">
        <f t="shared" si="7"/>
        <v>0</v>
      </c>
    </row>
    <row r="82" spans="1:19" x14ac:dyDescent="0.35">
      <c r="A82" s="1039"/>
      <c r="B82" s="179"/>
      <c r="C82" s="577"/>
      <c r="D82" s="928" t="str">
        <f>IFERROR((VLOOKUP(B82,'Spend mapping'!$A$11:$C$123,3,0)),"")</f>
        <v/>
      </c>
      <c r="E82" s="168"/>
      <c r="F82" s="168"/>
      <c r="G82" s="577"/>
      <c r="H82" s="577"/>
      <c r="I82" s="577"/>
      <c r="J82" s="579"/>
      <c r="K82" s="168"/>
      <c r="L82" s="168"/>
      <c r="M82" s="168"/>
      <c r="N82" s="168"/>
      <c r="O82" s="168"/>
      <c r="P82" s="313"/>
      <c r="Q82" s="1220">
        <f t="shared" si="6"/>
        <v>0</v>
      </c>
      <c r="R82" s="501">
        <f t="shared" si="8"/>
        <v>0</v>
      </c>
      <c r="S82" s="587">
        <f t="shared" si="7"/>
        <v>0</v>
      </c>
    </row>
    <row r="83" spans="1:19" x14ac:dyDescent="0.35">
      <c r="A83" s="1039"/>
      <c r="B83" s="179"/>
      <c r="C83" s="577"/>
      <c r="D83" s="928" t="str">
        <f>IFERROR((VLOOKUP(B83,'Spend mapping'!$A$11:$C$123,3,0)),"")</f>
        <v/>
      </c>
      <c r="E83" s="168"/>
      <c r="F83" s="168"/>
      <c r="G83" s="577"/>
      <c r="H83" s="577"/>
      <c r="I83" s="577"/>
      <c r="J83" s="579"/>
      <c r="K83" s="168"/>
      <c r="L83" s="168"/>
      <c r="M83" s="168"/>
      <c r="N83" s="168"/>
      <c r="O83" s="168"/>
      <c r="P83" s="313"/>
      <c r="Q83" s="1220">
        <f t="shared" si="6"/>
        <v>0</v>
      </c>
      <c r="R83" s="501">
        <f t="shared" si="8"/>
        <v>0</v>
      </c>
      <c r="S83" s="587">
        <f t="shared" si="7"/>
        <v>0</v>
      </c>
    </row>
    <row r="84" spans="1:19" x14ac:dyDescent="0.35">
      <c r="A84" s="1039"/>
      <c r="B84" s="179"/>
      <c r="C84" s="577"/>
      <c r="D84" s="928" t="str">
        <f>IFERROR((VLOOKUP(B84,'Spend mapping'!$A$11:$C$123,3,0)),"")</f>
        <v/>
      </c>
      <c r="E84" s="168"/>
      <c r="F84" s="168"/>
      <c r="G84" s="577"/>
      <c r="H84" s="577"/>
      <c r="I84" s="577"/>
      <c r="J84" s="579"/>
      <c r="K84" s="168"/>
      <c r="L84" s="168"/>
      <c r="M84" s="168"/>
      <c r="N84" s="168"/>
      <c r="O84" s="168"/>
      <c r="P84" s="313"/>
      <c r="Q84" s="1220">
        <f t="shared" si="6"/>
        <v>0</v>
      </c>
      <c r="R84" s="501">
        <f t="shared" si="8"/>
        <v>0</v>
      </c>
      <c r="S84" s="587">
        <f t="shared" si="7"/>
        <v>0</v>
      </c>
    </row>
    <row r="85" spans="1:19" x14ac:dyDescent="0.35">
      <c r="A85" s="1039"/>
      <c r="B85" s="179"/>
      <c r="C85" s="577"/>
      <c r="D85" s="928" t="str">
        <f>IFERROR((VLOOKUP(B85,'Spend mapping'!$A$11:$C$123,3,0)),"")</f>
        <v/>
      </c>
      <c r="E85" s="168"/>
      <c r="F85" s="168"/>
      <c r="G85" s="577"/>
      <c r="H85" s="577"/>
      <c r="I85" s="577"/>
      <c r="J85" s="579"/>
      <c r="K85" s="168"/>
      <c r="L85" s="168"/>
      <c r="M85" s="168"/>
      <c r="N85" s="168"/>
      <c r="O85" s="168"/>
      <c r="P85" s="313"/>
      <c r="Q85" s="1220">
        <f t="shared" si="6"/>
        <v>0</v>
      </c>
      <c r="R85" s="501">
        <f t="shared" si="8"/>
        <v>0</v>
      </c>
      <c r="S85" s="587">
        <f t="shared" si="7"/>
        <v>0</v>
      </c>
    </row>
    <row r="86" spans="1:19" x14ac:dyDescent="0.35">
      <c r="A86" s="1039"/>
      <c r="B86" s="179"/>
      <c r="C86" s="577"/>
      <c r="D86" s="928" t="str">
        <f>IFERROR((VLOOKUP(B86,'Spend mapping'!$A$11:$C$123,3,0)),"")</f>
        <v/>
      </c>
      <c r="E86" s="168"/>
      <c r="F86" s="168"/>
      <c r="G86" s="577"/>
      <c r="H86" s="577"/>
      <c r="I86" s="577"/>
      <c r="J86" s="579"/>
      <c r="K86" s="168"/>
      <c r="L86" s="168"/>
      <c r="M86" s="168"/>
      <c r="N86" s="168"/>
      <c r="O86" s="168"/>
      <c r="P86" s="313"/>
      <c r="Q86" s="1220">
        <f t="shared" si="6"/>
        <v>0</v>
      </c>
      <c r="R86" s="501">
        <f t="shared" si="8"/>
        <v>0</v>
      </c>
      <c r="S86" s="587">
        <f t="shared" si="7"/>
        <v>0</v>
      </c>
    </row>
    <row r="87" spans="1:19" x14ac:dyDescent="0.35">
      <c r="A87" s="1039"/>
      <c r="B87" s="179"/>
      <c r="C87" s="577"/>
      <c r="D87" s="928" t="str">
        <f>IFERROR((VLOOKUP(B87,'Spend mapping'!$A$11:$C$123,3,0)),"")</f>
        <v/>
      </c>
      <c r="E87" s="168"/>
      <c r="F87" s="168"/>
      <c r="G87" s="577"/>
      <c r="H87" s="577"/>
      <c r="I87" s="577"/>
      <c r="J87" s="579"/>
      <c r="K87" s="168"/>
      <c r="L87" s="168"/>
      <c r="M87" s="168"/>
      <c r="N87" s="168"/>
      <c r="O87" s="168"/>
      <c r="P87" s="313"/>
      <c r="Q87" s="1220">
        <f t="shared" si="6"/>
        <v>0</v>
      </c>
      <c r="R87" s="501">
        <f t="shared" si="8"/>
        <v>0</v>
      </c>
      <c r="S87" s="587">
        <f t="shared" si="7"/>
        <v>0</v>
      </c>
    </row>
    <row r="88" spans="1:19" x14ac:dyDescent="0.35">
      <c r="A88" s="1039"/>
      <c r="B88" s="179"/>
      <c r="C88" s="577"/>
      <c r="D88" s="928" t="str">
        <f>IFERROR((VLOOKUP(B88,'Spend mapping'!$A$11:$C$123,3,0)),"")</f>
        <v/>
      </c>
      <c r="E88" s="168"/>
      <c r="F88" s="168"/>
      <c r="G88" s="577"/>
      <c r="H88" s="577"/>
      <c r="I88" s="577"/>
      <c r="J88" s="579"/>
      <c r="K88" s="168"/>
      <c r="L88" s="168"/>
      <c r="M88" s="168"/>
      <c r="N88" s="168"/>
      <c r="O88" s="168"/>
      <c r="P88" s="313"/>
      <c r="Q88" s="1220">
        <f t="shared" si="6"/>
        <v>0</v>
      </c>
      <c r="R88" s="501">
        <f t="shared" si="8"/>
        <v>0</v>
      </c>
      <c r="S88" s="587">
        <f t="shared" si="7"/>
        <v>0</v>
      </c>
    </row>
    <row r="89" spans="1:19" x14ac:dyDescent="0.35">
      <c r="A89" s="1039"/>
      <c r="B89" s="179"/>
      <c r="C89" s="577"/>
      <c r="D89" s="928" t="str">
        <f>IFERROR((VLOOKUP(B89,'Spend mapping'!$A$11:$C$123,3,0)),"")</f>
        <v/>
      </c>
      <c r="E89" s="168"/>
      <c r="F89" s="168"/>
      <c r="G89" s="577"/>
      <c r="H89" s="577"/>
      <c r="I89" s="577"/>
      <c r="J89" s="579"/>
      <c r="K89" s="168"/>
      <c r="L89" s="168"/>
      <c r="M89" s="168"/>
      <c r="N89" s="168"/>
      <c r="O89" s="168"/>
      <c r="P89" s="313"/>
      <c r="Q89" s="1220">
        <f t="shared" si="6"/>
        <v>0</v>
      </c>
      <c r="R89" s="501">
        <f t="shared" si="8"/>
        <v>0</v>
      </c>
      <c r="S89" s="587">
        <f t="shared" si="7"/>
        <v>0</v>
      </c>
    </row>
    <row r="90" spans="1:19" x14ac:dyDescent="0.35">
      <c r="A90" s="1039"/>
      <c r="B90" s="179"/>
      <c r="C90" s="577"/>
      <c r="D90" s="928" t="str">
        <f>IFERROR((VLOOKUP(B90,'Spend mapping'!$A$11:$C$123,3,0)),"")</f>
        <v/>
      </c>
      <c r="E90" s="168"/>
      <c r="F90" s="168"/>
      <c r="G90" s="577"/>
      <c r="H90" s="577"/>
      <c r="I90" s="577"/>
      <c r="J90" s="579"/>
      <c r="K90" s="168"/>
      <c r="L90" s="168"/>
      <c r="M90" s="168"/>
      <c r="N90" s="168"/>
      <c r="O90" s="168"/>
      <c r="P90" s="313"/>
      <c r="Q90" s="1220">
        <f t="shared" si="6"/>
        <v>0</v>
      </c>
      <c r="R90" s="501">
        <f t="shared" si="8"/>
        <v>0</v>
      </c>
      <c r="S90" s="587">
        <f t="shared" si="7"/>
        <v>0</v>
      </c>
    </row>
    <row r="91" spans="1:19" x14ac:dyDescent="0.35">
      <c r="A91" s="1039"/>
      <c r="B91" s="179"/>
      <c r="C91" s="577"/>
      <c r="D91" s="928" t="str">
        <f>IFERROR((VLOOKUP(B91,'Spend mapping'!$A$11:$C$123,3,0)),"")</f>
        <v/>
      </c>
      <c r="E91" s="168"/>
      <c r="F91" s="168"/>
      <c r="G91" s="577"/>
      <c r="H91" s="577"/>
      <c r="I91" s="577"/>
      <c r="J91" s="579"/>
      <c r="K91" s="168"/>
      <c r="L91" s="168"/>
      <c r="M91" s="168"/>
      <c r="N91" s="168"/>
      <c r="O91" s="168"/>
      <c r="P91" s="313"/>
      <c r="Q91" s="1220">
        <f t="shared" si="6"/>
        <v>0</v>
      </c>
      <c r="R91" s="501">
        <f t="shared" si="8"/>
        <v>0</v>
      </c>
      <c r="S91" s="587">
        <f t="shared" si="7"/>
        <v>0</v>
      </c>
    </row>
    <row r="92" spans="1:19" x14ac:dyDescent="0.35">
      <c r="A92" s="1039"/>
      <c r="B92" s="179"/>
      <c r="C92" s="577"/>
      <c r="D92" s="928" t="str">
        <f>IFERROR((VLOOKUP(B92,'Spend mapping'!$A$11:$C$123,3,0)),"")</f>
        <v/>
      </c>
      <c r="E92" s="168"/>
      <c r="F92" s="168"/>
      <c r="G92" s="577"/>
      <c r="H92" s="577"/>
      <c r="I92" s="577"/>
      <c r="J92" s="579"/>
      <c r="K92" s="168"/>
      <c r="L92" s="168"/>
      <c r="M92" s="168"/>
      <c r="N92" s="168"/>
      <c r="O92" s="168"/>
      <c r="P92" s="313"/>
      <c r="Q92" s="1220">
        <f t="shared" si="6"/>
        <v>0</v>
      </c>
      <c r="R92" s="501">
        <f t="shared" si="8"/>
        <v>0</v>
      </c>
      <c r="S92" s="587">
        <f t="shared" si="7"/>
        <v>0</v>
      </c>
    </row>
    <row r="93" spans="1:19" x14ac:dyDescent="0.35">
      <c r="A93" s="1039"/>
      <c r="B93" s="179"/>
      <c r="C93" s="577"/>
      <c r="D93" s="928" t="str">
        <f>IFERROR((VLOOKUP(B93,'Spend mapping'!$A$11:$C$123,3,0)),"")</f>
        <v/>
      </c>
      <c r="E93" s="168"/>
      <c r="F93" s="168"/>
      <c r="G93" s="577"/>
      <c r="H93" s="577"/>
      <c r="I93" s="577"/>
      <c r="J93" s="579"/>
      <c r="K93" s="168"/>
      <c r="L93" s="168"/>
      <c r="M93" s="168"/>
      <c r="N93" s="168"/>
      <c r="O93" s="168"/>
      <c r="P93" s="313"/>
      <c r="Q93" s="1220">
        <f t="shared" si="6"/>
        <v>0</v>
      </c>
      <c r="R93" s="501">
        <f t="shared" si="8"/>
        <v>0</v>
      </c>
      <c r="S93" s="587">
        <f t="shared" si="7"/>
        <v>0</v>
      </c>
    </row>
    <row r="94" spans="1:19" x14ac:dyDescent="0.35">
      <c r="A94" s="1039"/>
      <c r="B94" s="179"/>
      <c r="C94" s="577"/>
      <c r="D94" s="928" t="str">
        <f>IFERROR((VLOOKUP(B94,'Spend mapping'!$A$11:$C$123,3,0)),"")</f>
        <v/>
      </c>
      <c r="E94" s="168"/>
      <c r="F94" s="168"/>
      <c r="G94" s="577"/>
      <c r="H94" s="577"/>
      <c r="I94" s="577"/>
      <c r="J94" s="579"/>
      <c r="K94" s="168"/>
      <c r="L94" s="168"/>
      <c r="M94" s="168"/>
      <c r="N94" s="168"/>
      <c r="O94" s="168"/>
      <c r="P94" s="313"/>
      <c r="Q94" s="1220">
        <f t="shared" si="6"/>
        <v>0</v>
      </c>
      <c r="R94" s="501">
        <f t="shared" si="8"/>
        <v>0</v>
      </c>
      <c r="S94" s="587">
        <f t="shared" si="7"/>
        <v>0</v>
      </c>
    </row>
    <row r="95" spans="1:19" x14ac:dyDescent="0.35">
      <c r="A95" s="1039"/>
      <c r="B95" s="179"/>
      <c r="C95" s="577"/>
      <c r="D95" s="928" t="str">
        <f>IFERROR((VLOOKUP(B95,'Spend mapping'!$A$11:$C$123,3,0)),"")</f>
        <v/>
      </c>
      <c r="E95" s="168"/>
      <c r="F95" s="168"/>
      <c r="G95" s="577"/>
      <c r="H95" s="577"/>
      <c r="I95" s="577"/>
      <c r="J95" s="579"/>
      <c r="K95" s="168"/>
      <c r="L95" s="168"/>
      <c r="M95" s="168"/>
      <c r="N95" s="168"/>
      <c r="O95" s="168"/>
      <c r="P95" s="313"/>
      <c r="Q95" s="1220">
        <f t="shared" si="6"/>
        <v>0</v>
      </c>
      <c r="R95" s="501">
        <f t="shared" si="8"/>
        <v>0</v>
      </c>
      <c r="S95" s="587">
        <f t="shared" si="7"/>
        <v>0</v>
      </c>
    </row>
    <row r="96" spans="1:19" x14ac:dyDescent="0.35">
      <c r="A96" s="1039"/>
      <c r="B96" s="179"/>
      <c r="C96" s="577"/>
      <c r="D96" s="928" t="str">
        <f>IFERROR((VLOOKUP(B96,'Spend mapping'!$A$11:$C$123,3,0)),"")</f>
        <v/>
      </c>
      <c r="E96" s="168"/>
      <c r="F96" s="168"/>
      <c r="G96" s="577"/>
      <c r="H96" s="577"/>
      <c r="I96" s="577"/>
      <c r="J96" s="579"/>
      <c r="K96" s="168"/>
      <c r="L96" s="168"/>
      <c r="M96" s="168"/>
      <c r="N96" s="168"/>
      <c r="O96" s="168"/>
      <c r="P96" s="313"/>
      <c r="Q96" s="1220">
        <f t="shared" si="6"/>
        <v>0</v>
      </c>
      <c r="R96" s="501">
        <f t="shared" si="8"/>
        <v>0</v>
      </c>
      <c r="S96" s="587">
        <f t="shared" si="7"/>
        <v>0</v>
      </c>
    </row>
    <row r="97" spans="1:19" x14ac:dyDescent="0.35">
      <c r="A97" s="1039"/>
      <c r="B97" s="179"/>
      <c r="C97" s="577"/>
      <c r="D97" s="928" t="str">
        <f>IFERROR((VLOOKUP(B97,'Spend mapping'!$A$11:$C$123,3,0)),"")</f>
        <v/>
      </c>
      <c r="E97" s="168"/>
      <c r="F97" s="168"/>
      <c r="G97" s="577"/>
      <c r="H97" s="577"/>
      <c r="I97" s="577"/>
      <c r="J97" s="579"/>
      <c r="K97" s="168"/>
      <c r="L97" s="168"/>
      <c r="M97" s="168"/>
      <c r="N97" s="168"/>
      <c r="O97" s="168"/>
      <c r="P97" s="313"/>
      <c r="Q97" s="1220">
        <f t="shared" si="6"/>
        <v>0</v>
      </c>
      <c r="R97" s="501">
        <f t="shared" si="8"/>
        <v>0</v>
      </c>
      <c r="S97" s="587">
        <f t="shared" si="7"/>
        <v>0</v>
      </c>
    </row>
    <row r="98" spans="1:19" x14ac:dyDescent="0.35">
      <c r="A98" s="1039"/>
      <c r="B98" s="179"/>
      <c r="C98" s="577"/>
      <c r="D98" s="928" t="str">
        <f>IFERROR((VLOOKUP(B98,'Spend mapping'!$A$11:$C$123,3,0)),"")</f>
        <v/>
      </c>
      <c r="E98" s="168"/>
      <c r="F98" s="168"/>
      <c r="G98" s="577"/>
      <c r="H98" s="577"/>
      <c r="I98" s="577"/>
      <c r="J98" s="579"/>
      <c r="K98" s="168"/>
      <c r="L98" s="168"/>
      <c r="M98" s="168"/>
      <c r="N98" s="168"/>
      <c r="O98" s="168"/>
      <c r="P98" s="313"/>
      <c r="Q98" s="1220">
        <f t="shared" si="6"/>
        <v>0</v>
      </c>
      <c r="R98" s="501">
        <f t="shared" si="8"/>
        <v>0</v>
      </c>
      <c r="S98" s="587">
        <f t="shared" si="7"/>
        <v>0</v>
      </c>
    </row>
    <row r="99" spans="1:19" x14ac:dyDescent="0.35">
      <c r="A99" s="1039"/>
      <c r="B99" s="179"/>
      <c r="C99" s="577"/>
      <c r="D99" s="928" t="str">
        <f>IFERROR((VLOOKUP(B99,'Spend mapping'!$A$11:$C$123,3,0)),"")</f>
        <v/>
      </c>
      <c r="E99" s="168"/>
      <c r="F99" s="168"/>
      <c r="G99" s="577"/>
      <c r="H99" s="577"/>
      <c r="I99" s="577"/>
      <c r="J99" s="579"/>
      <c r="K99" s="168"/>
      <c r="L99" s="168"/>
      <c r="M99" s="168"/>
      <c r="N99" s="168"/>
      <c r="O99" s="168"/>
      <c r="P99" s="313"/>
      <c r="Q99" s="1220">
        <f t="shared" si="6"/>
        <v>0</v>
      </c>
      <c r="R99" s="501">
        <f t="shared" si="8"/>
        <v>0</v>
      </c>
      <c r="S99" s="587">
        <f t="shared" si="7"/>
        <v>0</v>
      </c>
    </row>
    <row r="100" spans="1:19" x14ac:dyDescent="0.35">
      <c r="A100" s="1039"/>
      <c r="B100" s="179"/>
      <c r="C100" s="577"/>
      <c r="D100" s="928" t="str">
        <f>IFERROR((VLOOKUP(B100,'Spend mapping'!$A$11:$C$123,3,0)),"")</f>
        <v/>
      </c>
      <c r="E100" s="168"/>
      <c r="F100" s="168"/>
      <c r="G100" s="577"/>
      <c r="H100" s="577"/>
      <c r="I100" s="577"/>
      <c r="J100" s="579"/>
      <c r="K100" s="168"/>
      <c r="L100" s="168"/>
      <c r="M100" s="168"/>
      <c r="N100" s="168"/>
      <c r="O100" s="168"/>
      <c r="P100" s="313"/>
      <c r="Q100" s="1220">
        <f t="shared" si="6"/>
        <v>0</v>
      </c>
      <c r="R100" s="501">
        <f t="shared" si="8"/>
        <v>0</v>
      </c>
      <c r="S100" s="587">
        <f t="shared" si="7"/>
        <v>0</v>
      </c>
    </row>
    <row r="101" spans="1:19" x14ac:dyDescent="0.35">
      <c r="A101" s="1039"/>
      <c r="B101" s="179"/>
      <c r="C101" s="577"/>
      <c r="D101" s="928" t="str">
        <f>IFERROR((VLOOKUP(B101,'Spend mapping'!$A$11:$C$123,3,0)),"")</f>
        <v/>
      </c>
      <c r="E101" s="168"/>
      <c r="F101" s="168"/>
      <c r="G101" s="577"/>
      <c r="H101" s="577"/>
      <c r="I101" s="577"/>
      <c r="J101" s="579"/>
      <c r="K101" s="168"/>
      <c r="L101" s="168"/>
      <c r="M101" s="168"/>
      <c r="N101" s="168"/>
      <c r="O101" s="168"/>
      <c r="P101" s="313"/>
      <c r="Q101" s="1220">
        <f t="shared" si="6"/>
        <v>0</v>
      </c>
      <c r="R101" s="501">
        <f t="shared" si="8"/>
        <v>0</v>
      </c>
      <c r="S101" s="587">
        <f t="shared" si="7"/>
        <v>0</v>
      </c>
    </row>
    <row r="102" spans="1:19" x14ac:dyDescent="0.35">
      <c r="A102" s="1039"/>
      <c r="B102" s="179"/>
      <c r="C102" s="577"/>
      <c r="D102" s="928" t="str">
        <f>IFERROR((VLOOKUP(B102,'Spend mapping'!$A$11:$C$123,3,0)),"")</f>
        <v/>
      </c>
      <c r="E102" s="168"/>
      <c r="F102" s="168"/>
      <c r="G102" s="577"/>
      <c r="H102" s="577"/>
      <c r="I102" s="577"/>
      <c r="J102" s="579"/>
      <c r="K102" s="168"/>
      <c r="L102" s="168"/>
      <c r="M102" s="168"/>
      <c r="N102" s="168"/>
      <c r="O102" s="168"/>
      <c r="P102" s="313"/>
      <c r="Q102" s="1220">
        <f t="shared" si="6"/>
        <v>0</v>
      </c>
      <c r="R102" s="501">
        <f t="shared" si="8"/>
        <v>0</v>
      </c>
      <c r="S102" s="587">
        <f t="shared" si="7"/>
        <v>0</v>
      </c>
    </row>
    <row r="103" spans="1:19" x14ac:dyDescent="0.35">
      <c r="A103" s="1039"/>
      <c r="B103" s="179"/>
      <c r="C103" s="577"/>
      <c r="D103" s="928" t="str">
        <f>IFERROR((VLOOKUP(B103,'Spend mapping'!$A$11:$C$123,3,0)),"")</f>
        <v/>
      </c>
      <c r="E103" s="168"/>
      <c r="F103" s="168"/>
      <c r="G103" s="577"/>
      <c r="H103" s="577"/>
      <c r="I103" s="577"/>
      <c r="J103" s="579"/>
      <c r="K103" s="168"/>
      <c r="L103" s="168"/>
      <c r="M103" s="168"/>
      <c r="N103" s="168"/>
      <c r="O103" s="168"/>
      <c r="P103" s="313"/>
      <c r="Q103" s="1220">
        <f t="shared" si="6"/>
        <v>0</v>
      </c>
      <c r="R103" s="501">
        <f t="shared" si="8"/>
        <v>0</v>
      </c>
      <c r="S103" s="587">
        <f t="shared" si="7"/>
        <v>0</v>
      </c>
    </row>
    <row r="104" spans="1:19" x14ac:dyDescent="0.35">
      <c r="A104" s="1039"/>
      <c r="B104" s="179"/>
      <c r="C104" s="577"/>
      <c r="D104" s="928" t="str">
        <f>IFERROR((VLOOKUP(B104,'Spend mapping'!$A$11:$C$123,3,0)),"")</f>
        <v/>
      </c>
      <c r="E104" s="168"/>
      <c r="F104" s="168"/>
      <c r="G104" s="577"/>
      <c r="H104" s="577"/>
      <c r="I104" s="577"/>
      <c r="J104" s="579"/>
      <c r="K104" s="168"/>
      <c r="L104" s="168"/>
      <c r="M104" s="168"/>
      <c r="N104" s="168"/>
      <c r="O104" s="168"/>
      <c r="P104" s="313"/>
      <c r="Q104" s="1220">
        <f t="shared" si="6"/>
        <v>0</v>
      </c>
      <c r="R104" s="501">
        <f t="shared" si="8"/>
        <v>0</v>
      </c>
      <c r="S104" s="587">
        <f t="shared" si="7"/>
        <v>0</v>
      </c>
    </row>
    <row r="105" spans="1:19" x14ac:dyDescent="0.35">
      <c r="A105" s="1039"/>
      <c r="B105" s="179"/>
      <c r="C105" s="577"/>
      <c r="D105" s="928" t="str">
        <f>IFERROR((VLOOKUP(B105,'Spend mapping'!$A$11:$C$123,3,0)),"")</f>
        <v/>
      </c>
      <c r="E105" s="168"/>
      <c r="F105" s="168"/>
      <c r="G105" s="577"/>
      <c r="H105" s="577"/>
      <c r="I105" s="577"/>
      <c r="J105" s="579"/>
      <c r="K105" s="168"/>
      <c r="L105" s="168"/>
      <c r="M105" s="168"/>
      <c r="N105" s="168"/>
      <c r="O105" s="168"/>
      <c r="P105" s="313"/>
      <c r="Q105" s="1220">
        <f t="shared" si="6"/>
        <v>0</v>
      </c>
      <c r="R105" s="501">
        <f t="shared" si="8"/>
        <v>0</v>
      </c>
      <c r="S105" s="587">
        <f t="shared" si="7"/>
        <v>0</v>
      </c>
    </row>
    <row r="106" spans="1:19" x14ac:dyDescent="0.35">
      <c r="A106" s="1039"/>
      <c r="B106" s="179"/>
      <c r="C106" s="577"/>
      <c r="D106" s="928" t="str">
        <f>IFERROR((VLOOKUP(B106,'Spend mapping'!$A$11:$C$123,3,0)),"")</f>
        <v/>
      </c>
      <c r="E106" s="168"/>
      <c r="F106" s="168"/>
      <c r="G106" s="577"/>
      <c r="H106" s="577"/>
      <c r="I106" s="577"/>
      <c r="J106" s="579"/>
      <c r="K106" s="168"/>
      <c r="L106" s="168"/>
      <c r="M106" s="168"/>
      <c r="N106" s="168"/>
      <c r="O106" s="168"/>
      <c r="P106" s="313"/>
      <c r="Q106" s="1220">
        <f t="shared" si="6"/>
        <v>0</v>
      </c>
      <c r="R106" s="501">
        <f t="shared" si="8"/>
        <v>0</v>
      </c>
      <c r="S106" s="587">
        <f t="shared" si="7"/>
        <v>0</v>
      </c>
    </row>
    <row r="107" spans="1:19" x14ac:dyDescent="0.35">
      <c r="A107" s="1039"/>
      <c r="B107" s="179"/>
      <c r="C107" s="577"/>
      <c r="D107" s="928" t="str">
        <f>IFERROR((VLOOKUP(B107,'Spend mapping'!$A$11:$C$123,3,0)),"")</f>
        <v/>
      </c>
      <c r="E107" s="168"/>
      <c r="F107" s="168"/>
      <c r="G107" s="577"/>
      <c r="H107" s="577"/>
      <c r="I107" s="577"/>
      <c r="J107" s="579"/>
      <c r="K107" s="168"/>
      <c r="L107" s="168"/>
      <c r="M107" s="168"/>
      <c r="N107" s="168"/>
      <c r="O107" s="168"/>
      <c r="P107" s="313"/>
      <c r="Q107" s="1220">
        <f t="shared" si="6"/>
        <v>0</v>
      </c>
      <c r="R107" s="501">
        <f t="shared" si="8"/>
        <v>0</v>
      </c>
      <c r="S107" s="587">
        <f t="shared" si="7"/>
        <v>0</v>
      </c>
    </row>
    <row r="108" spans="1:19" x14ac:dyDescent="0.35">
      <c r="A108" s="1039"/>
      <c r="B108" s="179"/>
      <c r="C108" s="577"/>
      <c r="D108" s="928" t="str">
        <f>IFERROR((VLOOKUP(B108,'Spend mapping'!$A$11:$C$123,3,0)),"")</f>
        <v/>
      </c>
      <c r="E108" s="168"/>
      <c r="F108" s="168"/>
      <c r="G108" s="577"/>
      <c r="H108" s="577"/>
      <c r="I108" s="577"/>
      <c r="J108" s="579"/>
      <c r="K108" s="168"/>
      <c r="L108" s="168"/>
      <c r="M108" s="168"/>
      <c r="N108" s="168"/>
      <c r="O108" s="168"/>
      <c r="P108" s="313"/>
      <c r="Q108" s="1220">
        <f t="shared" si="6"/>
        <v>0</v>
      </c>
      <c r="R108" s="501">
        <f t="shared" si="8"/>
        <v>0</v>
      </c>
      <c r="S108" s="587">
        <f t="shared" si="7"/>
        <v>0</v>
      </c>
    </row>
    <row r="109" spans="1:19" x14ac:dyDescent="0.35">
      <c r="A109" s="1039"/>
      <c r="B109" s="179"/>
      <c r="C109" s="577"/>
      <c r="D109" s="928" t="str">
        <f>IFERROR((VLOOKUP(B109,'Spend mapping'!$A$11:$C$123,3,0)),"")</f>
        <v/>
      </c>
      <c r="E109" s="168"/>
      <c r="F109" s="168"/>
      <c r="G109" s="577"/>
      <c r="H109" s="577"/>
      <c r="I109" s="577"/>
      <c r="J109" s="579"/>
      <c r="K109" s="168"/>
      <c r="L109" s="168"/>
      <c r="M109" s="168"/>
      <c r="N109" s="168"/>
      <c r="O109" s="168"/>
      <c r="P109" s="313"/>
      <c r="Q109" s="1220">
        <f t="shared" ref="Q109:Q140" si="9">E109*C109</f>
        <v>0</v>
      </c>
      <c r="R109" s="501">
        <f t="shared" si="8"/>
        <v>0</v>
      </c>
      <c r="S109" s="587">
        <f t="shared" ref="S109:S140" si="10">K109*C109</f>
        <v>0</v>
      </c>
    </row>
    <row r="110" spans="1:19" x14ac:dyDescent="0.35">
      <c r="A110" s="1039"/>
      <c r="B110" s="179"/>
      <c r="C110" s="577"/>
      <c r="D110" s="928" t="str">
        <f>IFERROR((VLOOKUP(B110,'Spend mapping'!$A$11:$C$123,3,0)),"")</f>
        <v/>
      </c>
      <c r="E110" s="168"/>
      <c r="F110" s="168"/>
      <c r="G110" s="577"/>
      <c r="H110" s="577"/>
      <c r="I110" s="577"/>
      <c r="J110" s="579"/>
      <c r="K110" s="168"/>
      <c r="L110" s="168"/>
      <c r="M110" s="168"/>
      <c r="N110" s="168"/>
      <c r="O110" s="168"/>
      <c r="P110" s="313"/>
      <c r="Q110" s="1220">
        <f t="shared" si="9"/>
        <v>0</v>
      </c>
      <c r="R110" s="501">
        <f t="shared" ref="R110:R141" si="11">C110*G110</f>
        <v>0</v>
      </c>
      <c r="S110" s="587">
        <f t="shared" si="10"/>
        <v>0</v>
      </c>
    </row>
    <row r="111" spans="1:19" x14ac:dyDescent="0.35">
      <c r="A111" s="1039"/>
      <c r="B111" s="179"/>
      <c r="C111" s="577"/>
      <c r="D111" s="928" t="str">
        <f>IFERROR((VLOOKUP(B111,'Spend mapping'!$A$11:$C$123,3,0)),"")</f>
        <v/>
      </c>
      <c r="E111" s="168"/>
      <c r="F111" s="168"/>
      <c r="G111" s="577"/>
      <c r="H111" s="577"/>
      <c r="I111" s="577"/>
      <c r="J111" s="579"/>
      <c r="K111" s="168"/>
      <c r="L111" s="168"/>
      <c r="M111" s="168"/>
      <c r="N111" s="168"/>
      <c r="O111" s="168"/>
      <c r="P111" s="313"/>
      <c r="Q111" s="1220">
        <f t="shared" si="9"/>
        <v>0</v>
      </c>
      <c r="R111" s="501">
        <f t="shared" si="11"/>
        <v>0</v>
      </c>
      <c r="S111" s="587">
        <f t="shared" si="10"/>
        <v>0</v>
      </c>
    </row>
    <row r="112" spans="1:19" x14ac:dyDescent="0.35">
      <c r="A112" s="1039"/>
      <c r="B112" s="179"/>
      <c r="C112" s="577"/>
      <c r="D112" s="928" t="str">
        <f>IFERROR((VLOOKUP(B112,'Spend mapping'!$A$11:$C$123,3,0)),"")</f>
        <v/>
      </c>
      <c r="E112" s="168"/>
      <c r="F112" s="168"/>
      <c r="G112" s="577"/>
      <c r="H112" s="577"/>
      <c r="I112" s="577"/>
      <c r="J112" s="579"/>
      <c r="K112" s="168"/>
      <c r="L112" s="168"/>
      <c r="M112" s="168"/>
      <c r="N112" s="168"/>
      <c r="O112" s="168"/>
      <c r="P112" s="313"/>
      <c r="Q112" s="1220">
        <f t="shared" si="9"/>
        <v>0</v>
      </c>
      <c r="R112" s="501">
        <f t="shared" si="11"/>
        <v>0</v>
      </c>
      <c r="S112" s="587">
        <f t="shared" si="10"/>
        <v>0</v>
      </c>
    </row>
    <row r="113" spans="1:19" x14ac:dyDescent="0.35">
      <c r="A113" s="1039"/>
      <c r="B113" s="179"/>
      <c r="C113" s="577"/>
      <c r="D113" s="928" t="str">
        <f>IFERROR((VLOOKUP(B113,'Spend mapping'!$A$11:$C$123,3,0)),"")</f>
        <v/>
      </c>
      <c r="E113" s="168"/>
      <c r="F113" s="168"/>
      <c r="G113" s="577"/>
      <c r="H113" s="577"/>
      <c r="I113" s="577"/>
      <c r="J113" s="579"/>
      <c r="K113" s="168"/>
      <c r="L113" s="168"/>
      <c r="M113" s="168"/>
      <c r="N113" s="168"/>
      <c r="O113" s="168"/>
      <c r="P113" s="313"/>
      <c r="Q113" s="1220">
        <f t="shared" si="9"/>
        <v>0</v>
      </c>
      <c r="R113" s="501">
        <f t="shared" si="11"/>
        <v>0</v>
      </c>
      <c r="S113" s="587">
        <f t="shared" si="10"/>
        <v>0</v>
      </c>
    </row>
    <row r="114" spans="1:19" x14ac:dyDescent="0.35">
      <c r="A114" s="1039"/>
      <c r="B114" s="179"/>
      <c r="C114" s="577"/>
      <c r="D114" s="928" t="str">
        <f>IFERROR((VLOOKUP(B114,'Spend mapping'!$A$11:$C$123,3,0)),"")</f>
        <v/>
      </c>
      <c r="E114" s="168"/>
      <c r="F114" s="168"/>
      <c r="G114" s="577"/>
      <c r="H114" s="577"/>
      <c r="I114" s="577"/>
      <c r="J114" s="579"/>
      <c r="K114" s="168"/>
      <c r="L114" s="168"/>
      <c r="M114" s="168"/>
      <c r="N114" s="168"/>
      <c r="O114" s="168"/>
      <c r="P114" s="313"/>
      <c r="Q114" s="1220">
        <f t="shared" si="9"/>
        <v>0</v>
      </c>
      <c r="R114" s="501">
        <f t="shared" si="11"/>
        <v>0</v>
      </c>
      <c r="S114" s="587">
        <f t="shared" si="10"/>
        <v>0</v>
      </c>
    </row>
    <row r="115" spans="1:19" x14ac:dyDescent="0.35">
      <c r="A115" s="1039"/>
      <c r="B115" s="179"/>
      <c r="C115" s="577"/>
      <c r="D115" s="928" t="str">
        <f>IFERROR((VLOOKUP(B115,'Spend mapping'!$A$11:$C$123,3,0)),"")</f>
        <v/>
      </c>
      <c r="E115" s="168"/>
      <c r="F115" s="168"/>
      <c r="G115" s="577"/>
      <c r="H115" s="577"/>
      <c r="I115" s="577"/>
      <c r="J115" s="579"/>
      <c r="K115" s="168"/>
      <c r="L115" s="168"/>
      <c r="M115" s="168"/>
      <c r="N115" s="168"/>
      <c r="O115" s="168"/>
      <c r="P115" s="313"/>
      <c r="Q115" s="1220">
        <f t="shared" si="9"/>
        <v>0</v>
      </c>
      <c r="R115" s="501">
        <f t="shared" si="11"/>
        <v>0</v>
      </c>
      <c r="S115" s="587">
        <f t="shared" si="10"/>
        <v>0</v>
      </c>
    </row>
    <row r="116" spans="1:19" x14ac:dyDescent="0.35">
      <c r="A116" s="1039"/>
      <c r="B116" s="179"/>
      <c r="C116" s="577"/>
      <c r="D116" s="928" t="str">
        <f>IFERROR((VLOOKUP(B116,'Spend mapping'!$A$11:$C$123,3,0)),"")</f>
        <v/>
      </c>
      <c r="E116" s="168"/>
      <c r="F116" s="168"/>
      <c r="G116" s="577"/>
      <c r="H116" s="577"/>
      <c r="I116" s="577"/>
      <c r="J116" s="579"/>
      <c r="K116" s="168"/>
      <c r="L116" s="168"/>
      <c r="M116" s="168"/>
      <c r="N116" s="168"/>
      <c r="O116" s="168"/>
      <c r="P116" s="313"/>
      <c r="Q116" s="1220">
        <f t="shared" si="9"/>
        <v>0</v>
      </c>
      <c r="R116" s="501">
        <f t="shared" si="11"/>
        <v>0</v>
      </c>
      <c r="S116" s="587">
        <f t="shared" si="10"/>
        <v>0</v>
      </c>
    </row>
    <row r="117" spans="1:19" x14ac:dyDescent="0.35">
      <c r="A117" s="1039"/>
      <c r="B117" s="179"/>
      <c r="C117" s="577"/>
      <c r="D117" s="928" t="str">
        <f>IFERROR((VLOOKUP(B117,'Spend mapping'!$A$11:$C$123,3,0)),"")</f>
        <v/>
      </c>
      <c r="E117" s="168"/>
      <c r="F117" s="168"/>
      <c r="G117" s="577"/>
      <c r="H117" s="577"/>
      <c r="I117" s="577"/>
      <c r="J117" s="579"/>
      <c r="K117" s="168"/>
      <c r="L117" s="168"/>
      <c r="M117" s="168"/>
      <c r="N117" s="168"/>
      <c r="O117" s="168"/>
      <c r="P117" s="313"/>
      <c r="Q117" s="1220">
        <f t="shared" si="9"/>
        <v>0</v>
      </c>
      <c r="R117" s="501">
        <f t="shared" si="11"/>
        <v>0</v>
      </c>
      <c r="S117" s="587">
        <f t="shared" si="10"/>
        <v>0</v>
      </c>
    </row>
    <row r="118" spans="1:19" x14ac:dyDescent="0.35">
      <c r="A118" s="1039"/>
      <c r="B118" s="179"/>
      <c r="C118" s="577"/>
      <c r="D118" s="928" t="str">
        <f>IFERROR((VLOOKUP(B118,'Spend mapping'!$A$11:$C$123,3,0)),"")</f>
        <v/>
      </c>
      <c r="E118" s="168"/>
      <c r="F118" s="168"/>
      <c r="G118" s="577"/>
      <c r="H118" s="577"/>
      <c r="I118" s="577"/>
      <c r="J118" s="579"/>
      <c r="K118" s="168"/>
      <c r="L118" s="168"/>
      <c r="M118" s="168"/>
      <c r="N118" s="168"/>
      <c r="O118" s="168"/>
      <c r="P118" s="313"/>
      <c r="Q118" s="1220">
        <f t="shared" si="9"/>
        <v>0</v>
      </c>
      <c r="R118" s="501">
        <f t="shared" si="11"/>
        <v>0</v>
      </c>
      <c r="S118" s="587">
        <f t="shared" si="10"/>
        <v>0</v>
      </c>
    </row>
    <row r="119" spans="1:19" x14ac:dyDescent="0.35">
      <c r="A119" s="1039"/>
      <c r="B119" s="179"/>
      <c r="C119" s="577"/>
      <c r="D119" s="928" t="str">
        <f>IFERROR((VLOOKUP(B119,'Spend mapping'!$A$11:$C$123,3,0)),"")</f>
        <v/>
      </c>
      <c r="E119" s="168"/>
      <c r="F119" s="168"/>
      <c r="G119" s="577"/>
      <c r="H119" s="577"/>
      <c r="I119" s="577"/>
      <c r="J119" s="579"/>
      <c r="K119" s="168"/>
      <c r="L119" s="168"/>
      <c r="M119" s="168"/>
      <c r="N119" s="168"/>
      <c r="O119" s="168"/>
      <c r="P119" s="313"/>
      <c r="Q119" s="1220">
        <f t="shared" si="9"/>
        <v>0</v>
      </c>
      <c r="R119" s="501">
        <f t="shared" si="11"/>
        <v>0</v>
      </c>
      <c r="S119" s="587">
        <f t="shared" si="10"/>
        <v>0</v>
      </c>
    </row>
    <row r="120" spans="1:19" x14ac:dyDescent="0.35">
      <c r="A120" s="1039"/>
      <c r="B120" s="179"/>
      <c r="C120" s="577"/>
      <c r="D120" s="928" t="str">
        <f>IFERROR((VLOOKUP(B120,'Spend mapping'!$A$11:$C$123,3,0)),"")</f>
        <v/>
      </c>
      <c r="E120" s="168"/>
      <c r="F120" s="168"/>
      <c r="G120" s="577"/>
      <c r="H120" s="577"/>
      <c r="I120" s="577"/>
      <c r="J120" s="579"/>
      <c r="K120" s="168"/>
      <c r="L120" s="168"/>
      <c r="M120" s="168"/>
      <c r="N120" s="168"/>
      <c r="O120" s="168"/>
      <c r="P120" s="313"/>
      <c r="Q120" s="1220">
        <f t="shared" si="9"/>
        <v>0</v>
      </c>
      <c r="R120" s="501">
        <f t="shared" si="11"/>
        <v>0</v>
      </c>
      <c r="S120" s="587">
        <f t="shared" si="10"/>
        <v>0</v>
      </c>
    </row>
    <row r="121" spans="1:19" x14ac:dyDescent="0.35">
      <c r="A121" s="1039"/>
      <c r="B121" s="179"/>
      <c r="C121" s="577"/>
      <c r="D121" s="928" t="str">
        <f>IFERROR((VLOOKUP(B121,'Spend mapping'!$A$11:$C$123,3,0)),"")</f>
        <v/>
      </c>
      <c r="E121" s="168"/>
      <c r="F121" s="168"/>
      <c r="G121" s="577"/>
      <c r="H121" s="577"/>
      <c r="I121" s="577"/>
      <c r="J121" s="579"/>
      <c r="K121" s="168"/>
      <c r="L121" s="168"/>
      <c r="M121" s="168"/>
      <c r="N121" s="168"/>
      <c r="O121" s="168"/>
      <c r="P121" s="313"/>
      <c r="Q121" s="1220">
        <f t="shared" si="9"/>
        <v>0</v>
      </c>
      <c r="R121" s="501">
        <f t="shared" si="11"/>
        <v>0</v>
      </c>
      <c r="S121" s="587">
        <f t="shared" si="10"/>
        <v>0</v>
      </c>
    </row>
    <row r="122" spans="1:19" x14ac:dyDescent="0.35">
      <c r="A122" s="1039"/>
      <c r="B122" s="179"/>
      <c r="C122" s="577"/>
      <c r="D122" s="928" t="str">
        <f>IFERROR((VLOOKUP(B122,'Spend mapping'!$A$11:$C$123,3,0)),"")</f>
        <v/>
      </c>
      <c r="E122" s="168"/>
      <c r="F122" s="168"/>
      <c r="G122" s="577"/>
      <c r="H122" s="577"/>
      <c r="I122" s="577"/>
      <c r="J122" s="579"/>
      <c r="K122" s="168"/>
      <c r="L122" s="168"/>
      <c r="M122" s="168"/>
      <c r="N122" s="168"/>
      <c r="O122" s="168"/>
      <c r="P122" s="313"/>
      <c r="Q122" s="1220">
        <f t="shared" si="9"/>
        <v>0</v>
      </c>
      <c r="R122" s="501">
        <f t="shared" si="11"/>
        <v>0</v>
      </c>
      <c r="S122" s="587">
        <f t="shared" si="10"/>
        <v>0</v>
      </c>
    </row>
    <row r="123" spans="1:19" x14ac:dyDescent="0.35">
      <c r="A123" s="1039"/>
      <c r="B123" s="179"/>
      <c r="C123" s="577"/>
      <c r="D123" s="928" t="str">
        <f>IFERROR((VLOOKUP(B123,'Spend mapping'!$A$11:$C$123,3,0)),"")</f>
        <v/>
      </c>
      <c r="E123" s="168"/>
      <c r="F123" s="168"/>
      <c r="G123" s="577"/>
      <c r="H123" s="577"/>
      <c r="I123" s="577"/>
      <c r="J123" s="579"/>
      <c r="K123" s="168"/>
      <c r="L123" s="168"/>
      <c r="M123" s="168"/>
      <c r="N123" s="168"/>
      <c r="O123" s="168"/>
      <c r="P123" s="313"/>
      <c r="Q123" s="1220">
        <f t="shared" si="9"/>
        <v>0</v>
      </c>
      <c r="R123" s="501">
        <f t="shared" si="11"/>
        <v>0</v>
      </c>
      <c r="S123" s="587">
        <f t="shared" si="10"/>
        <v>0</v>
      </c>
    </row>
    <row r="124" spans="1:19" x14ac:dyDescent="0.35">
      <c r="A124" s="1039"/>
      <c r="B124" s="179"/>
      <c r="C124" s="577"/>
      <c r="D124" s="928" t="str">
        <f>IFERROR((VLOOKUP(B124,'Spend mapping'!$A$11:$C$123,3,0)),"")</f>
        <v/>
      </c>
      <c r="E124" s="168"/>
      <c r="F124" s="168"/>
      <c r="G124" s="577"/>
      <c r="H124" s="577"/>
      <c r="I124" s="577"/>
      <c r="J124" s="579"/>
      <c r="K124" s="168"/>
      <c r="L124" s="168"/>
      <c r="M124" s="168"/>
      <c r="N124" s="168"/>
      <c r="O124" s="168"/>
      <c r="P124" s="313"/>
      <c r="Q124" s="1220">
        <f t="shared" si="9"/>
        <v>0</v>
      </c>
      <c r="R124" s="501">
        <f t="shared" si="11"/>
        <v>0</v>
      </c>
      <c r="S124" s="587">
        <f t="shared" si="10"/>
        <v>0</v>
      </c>
    </row>
    <row r="125" spans="1:19" x14ac:dyDescent="0.35">
      <c r="A125" s="1039"/>
      <c r="B125" s="179"/>
      <c r="C125" s="577"/>
      <c r="D125" s="928" t="str">
        <f>IFERROR((VLOOKUP(B125,'Spend mapping'!$A$11:$C$123,3,0)),"")</f>
        <v/>
      </c>
      <c r="E125" s="168"/>
      <c r="F125" s="168"/>
      <c r="G125" s="577"/>
      <c r="H125" s="577"/>
      <c r="I125" s="577"/>
      <c r="J125" s="579"/>
      <c r="K125" s="168"/>
      <c r="L125" s="168"/>
      <c r="M125" s="168"/>
      <c r="N125" s="168"/>
      <c r="O125" s="168"/>
      <c r="P125" s="313"/>
      <c r="Q125" s="1220">
        <f t="shared" si="9"/>
        <v>0</v>
      </c>
      <c r="R125" s="501">
        <f t="shared" si="11"/>
        <v>0</v>
      </c>
      <c r="S125" s="587">
        <f t="shared" si="10"/>
        <v>0</v>
      </c>
    </row>
    <row r="126" spans="1:19" x14ac:dyDescent="0.35">
      <c r="A126" s="1039"/>
      <c r="B126" s="179"/>
      <c r="C126" s="577"/>
      <c r="D126" s="928" t="str">
        <f>IFERROR((VLOOKUP(B126,'Spend mapping'!$A$11:$C$123,3,0)),"")</f>
        <v/>
      </c>
      <c r="E126" s="168"/>
      <c r="F126" s="168"/>
      <c r="G126" s="577"/>
      <c r="H126" s="577"/>
      <c r="I126" s="577"/>
      <c r="J126" s="579"/>
      <c r="K126" s="168"/>
      <c r="L126" s="168"/>
      <c r="M126" s="168"/>
      <c r="N126" s="168"/>
      <c r="O126" s="168"/>
      <c r="P126" s="313"/>
      <c r="Q126" s="1220">
        <f t="shared" si="9"/>
        <v>0</v>
      </c>
      <c r="R126" s="501">
        <f t="shared" si="11"/>
        <v>0</v>
      </c>
      <c r="S126" s="587">
        <f t="shared" si="10"/>
        <v>0</v>
      </c>
    </row>
    <row r="127" spans="1:19" x14ac:dyDescent="0.35">
      <c r="A127" s="1039"/>
      <c r="B127" s="179"/>
      <c r="C127" s="577"/>
      <c r="D127" s="928" t="str">
        <f>IFERROR((VLOOKUP(B127,'Spend mapping'!$A$11:$C$123,3,0)),"")</f>
        <v/>
      </c>
      <c r="E127" s="168"/>
      <c r="F127" s="168"/>
      <c r="G127" s="577"/>
      <c r="H127" s="577"/>
      <c r="I127" s="577"/>
      <c r="J127" s="579"/>
      <c r="K127" s="168"/>
      <c r="L127" s="168"/>
      <c r="M127" s="168"/>
      <c r="N127" s="168"/>
      <c r="O127" s="168"/>
      <c r="P127" s="313"/>
      <c r="Q127" s="1220">
        <f t="shared" si="9"/>
        <v>0</v>
      </c>
      <c r="R127" s="501">
        <f t="shared" si="11"/>
        <v>0</v>
      </c>
      <c r="S127" s="587">
        <f t="shared" si="10"/>
        <v>0</v>
      </c>
    </row>
    <row r="128" spans="1:19" x14ac:dyDescent="0.35">
      <c r="A128" s="1039"/>
      <c r="B128" s="179"/>
      <c r="C128" s="577"/>
      <c r="D128" s="928" t="str">
        <f>IFERROR((VLOOKUP(B128,'Spend mapping'!$A$11:$C$123,3,0)),"")</f>
        <v/>
      </c>
      <c r="E128" s="168"/>
      <c r="F128" s="168"/>
      <c r="G128" s="577"/>
      <c r="H128" s="577"/>
      <c r="I128" s="577"/>
      <c r="J128" s="579"/>
      <c r="K128" s="168"/>
      <c r="L128" s="168"/>
      <c r="M128" s="168"/>
      <c r="N128" s="168"/>
      <c r="O128" s="168"/>
      <c r="P128" s="313"/>
      <c r="Q128" s="1220">
        <f t="shared" si="9"/>
        <v>0</v>
      </c>
      <c r="R128" s="501">
        <f t="shared" si="11"/>
        <v>0</v>
      </c>
      <c r="S128" s="587">
        <f t="shared" si="10"/>
        <v>0</v>
      </c>
    </row>
    <row r="129" spans="1:19" x14ac:dyDescent="0.35">
      <c r="A129" s="1039"/>
      <c r="B129" s="179"/>
      <c r="C129" s="577"/>
      <c r="D129" s="928" t="str">
        <f>IFERROR((VLOOKUP(B129,'Spend mapping'!$A$11:$C$123,3,0)),"")</f>
        <v/>
      </c>
      <c r="E129" s="168"/>
      <c r="F129" s="168"/>
      <c r="G129" s="577"/>
      <c r="H129" s="577"/>
      <c r="I129" s="577"/>
      <c r="J129" s="579"/>
      <c r="K129" s="168"/>
      <c r="L129" s="168"/>
      <c r="M129" s="168"/>
      <c r="N129" s="168"/>
      <c r="O129" s="168"/>
      <c r="P129" s="313"/>
      <c r="Q129" s="1220">
        <f t="shared" si="9"/>
        <v>0</v>
      </c>
      <c r="R129" s="501">
        <f t="shared" si="11"/>
        <v>0</v>
      </c>
      <c r="S129" s="587">
        <f t="shared" si="10"/>
        <v>0</v>
      </c>
    </row>
    <row r="130" spans="1:19" x14ac:dyDescent="0.35">
      <c r="A130" s="1039"/>
      <c r="B130" s="179"/>
      <c r="C130" s="577"/>
      <c r="D130" s="928" t="str">
        <f>IFERROR((VLOOKUP(B130,'Spend mapping'!$A$11:$C$123,3,0)),"")</f>
        <v/>
      </c>
      <c r="E130" s="168"/>
      <c r="F130" s="168"/>
      <c r="G130" s="577"/>
      <c r="H130" s="577"/>
      <c r="I130" s="577"/>
      <c r="J130" s="579"/>
      <c r="K130" s="168"/>
      <c r="L130" s="168"/>
      <c r="M130" s="168"/>
      <c r="N130" s="168"/>
      <c r="O130" s="168"/>
      <c r="P130" s="313"/>
      <c r="Q130" s="1220">
        <f t="shared" si="9"/>
        <v>0</v>
      </c>
      <c r="R130" s="501">
        <f t="shared" si="11"/>
        <v>0</v>
      </c>
      <c r="S130" s="587">
        <f t="shared" si="10"/>
        <v>0</v>
      </c>
    </row>
    <row r="131" spans="1:19" x14ac:dyDescent="0.35">
      <c r="A131" s="1039"/>
      <c r="B131" s="179"/>
      <c r="C131" s="577"/>
      <c r="D131" s="928" t="str">
        <f>IFERROR((VLOOKUP(B131,'Spend mapping'!$A$11:$C$123,3,0)),"")</f>
        <v/>
      </c>
      <c r="E131" s="168"/>
      <c r="F131" s="168"/>
      <c r="G131" s="577"/>
      <c r="H131" s="577"/>
      <c r="I131" s="577"/>
      <c r="J131" s="579"/>
      <c r="K131" s="168"/>
      <c r="L131" s="168"/>
      <c r="M131" s="168"/>
      <c r="N131" s="168"/>
      <c r="O131" s="168"/>
      <c r="P131" s="313"/>
      <c r="Q131" s="1220">
        <f t="shared" si="9"/>
        <v>0</v>
      </c>
      <c r="R131" s="501">
        <f t="shared" si="11"/>
        <v>0</v>
      </c>
      <c r="S131" s="587">
        <f t="shared" si="10"/>
        <v>0</v>
      </c>
    </row>
    <row r="132" spans="1:19" x14ac:dyDescent="0.35">
      <c r="A132" s="1039"/>
      <c r="B132" s="179"/>
      <c r="C132" s="577"/>
      <c r="D132" s="928" t="str">
        <f>IFERROR((VLOOKUP(B132,'Spend mapping'!$A$11:$C$123,3,0)),"")</f>
        <v/>
      </c>
      <c r="E132" s="168"/>
      <c r="F132" s="168"/>
      <c r="G132" s="577"/>
      <c r="H132" s="577"/>
      <c r="I132" s="577"/>
      <c r="J132" s="579"/>
      <c r="K132" s="168"/>
      <c r="L132" s="168"/>
      <c r="M132" s="168"/>
      <c r="N132" s="168"/>
      <c r="O132" s="168"/>
      <c r="P132" s="313"/>
      <c r="Q132" s="1220">
        <f t="shared" si="9"/>
        <v>0</v>
      </c>
      <c r="R132" s="501">
        <f t="shared" si="11"/>
        <v>0</v>
      </c>
      <c r="S132" s="587">
        <f t="shared" si="10"/>
        <v>0</v>
      </c>
    </row>
    <row r="133" spans="1:19" x14ac:dyDescent="0.35">
      <c r="A133" s="1039"/>
      <c r="B133" s="179"/>
      <c r="C133" s="577"/>
      <c r="D133" s="928" t="str">
        <f>IFERROR((VLOOKUP(B133,'Spend mapping'!$A$11:$C$123,3,0)),"")</f>
        <v/>
      </c>
      <c r="E133" s="168"/>
      <c r="F133" s="168"/>
      <c r="G133" s="577"/>
      <c r="H133" s="577"/>
      <c r="I133" s="577"/>
      <c r="J133" s="579"/>
      <c r="K133" s="168"/>
      <c r="L133" s="168"/>
      <c r="M133" s="168"/>
      <c r="N133" s="168"/>
      <c r="O133" s="168"/>
      <c r="P133" s="313"/>
      <c r="Q133" s="1220">
        <f t="shared" si="9"/>
        <v>0</v>
      </c>
      <c r="R133" s="501">
        <f t="shared" si="11"/>
        <v>0</v>
      </c>
      <c r="S133" s="587">
        <f t="shared" si="10"/>
        <v>0</v>
      </c>
    </row>
    <row r="134" spans="1:19" x14ac:dyDescent="0.35">
      <c r="A134" s="1039"/>
      <c r="B134" s="179"/>
      <c r="C134" s="577"/>
      <c r="D134" s="928" t="str">
        <f>IFERROR((VLOOKUP(B134,'Spend mapping'!$A$11:$C$123,3,0)),"")</f>
        <v/>
      </c>
      <c r="E134" s="168"/>
      <c r="F134" s="168"/>
      <c r="G134" s="577"/>
      <c r="H134" s="577"/>
      <c r="I134" s="577"/>
      <c r="J134" s="579"/>
      <c r="K134" s="168"/>
      <c r="L134" s="168"/>
      <c r="M134" s="168"/>
      <c r="N134" s="168"/>
      <c r="O134" s="168"/>
      <c r="P134" s="313"/>
      <c r="Q134" s="1220">
        <f t="shared" si="9"/>
        <v>0</v>
      </c>
      <c r="R134" s="501">
        <f t="shared" si="11"/>
        <v>0</v>
      </c>
      <c r="S134" s="587">
        <f t="shared" si="10"/>
        <v>0</v>
      </c>
    </row>
    <row r="135" spans="1:19" x14ac:dyDescent="0.35">
      <c r="A135" s="1039"/>
      <c r="B135" s="179"/>
      <c r="C135" s="577"/>
      <c r="D135" s="928" t="str">
        <f>IFERROR((VLOOKUP(B135,'Spend mapping'!$A$11:$C$123,3,0)),"")</f>
        <v/>
      </c>
      <c r="E135" s="168"/>
      <c r="F135" s="168"/>
      <c r="G135" s="577"/>
      <c r="H135" s="577"/>
      <c r="I135" s="577"/>
      <c r="J135" s="579"/>
      <c r="K135" s="168"/>
      <c r="L135" s="168"/>
      <c r="M135" s="168"/>
      <c r="N135" s="168"/>
      <c r="O135" s="168"/>
      <c r="P135" s="313"/>
      <c r="Q135" s="1220">
        <f t="shared" si="9"/>
        <v>0</v>
      </c>
      <c r="R135" s="501">
        <f t="shared" si="11"/>
        <v>0</v>
      </c>
      <c r="S135" s="587">
        <f t="shared" si="10"/>
        <v>0</v>
      </c>
    </row>
    <row r="136" spans="1:19" x14ac:dyDescent="0.35">
      <c r="A136" s="1039"/>
      <c r="B136" s="179"/>
      <c r="C136" s="577"/>
      <c r="D136" s="928" t="str">
        <f>IFERROR((VLOOKUP(B136,'Spend mapping'!$A$11:$C$123,3,0)),"")</f>
        <v/>
      </c>
      <c r="E136" s="168"/>
      <c r="F136" s="168"/>
      <c r="G136" s="577"/>
      <c r="H136" s="577"/>
      <c r="I136" s="577"/>
      <c r="J136" s="579"/>
      <c r="K136" s="168"/>
      <c r="L136" s="168"/>
      <c r="M136" s="168"/>
      <c r="N136" s="168"/>
      <c r="O136" s="168"/>
      <c r="P136" s="313"/>
      <c r="Q136" s="1220">
        <f t="shared" si="9"/>
        <v>0</v>
      </c>
      <c r="R136" s="501">
        <f t="shared" si="11"/>
        <v>0</v>
      </c>
      <c r="S136" s="587">
        <f t="shared" si="10"/>
        <v>0</v>
      </c>
    </row>
    <row r="137" spans="1:19" x14ac:dyDescent="0.35">
      <c r="A137" s="1039"/>
      <c r="B137" s="179"/>
      <c r="C137" s="577"/>
      <c r="D137" s="928" t="str">
        <f>IFERROR((VLOOKUP(B137,'Spend mapping'!$A$11:$C$123,3,0)),"")</f>
        <v/>
      </c>
      <c r="E137" s="168"/>
      <c r="F137" s="168"/>
      <c r="G137" s="577"/>
      <c r="H137" s="577"/>
      <c r="I137" s="577"/>
      <c r="J137" s="579"/>
      <c r="K137" s="168"/>
      <c r="L137" s="168"/>
      <c r="M137" s="168"/>
      <c r="N137" s="168"/>
      <c r="O137" s="168"/>
      <c r="P137" s="313"/>
      <c r="Q137" s="1220">
        <f t="shared" si="9"/>
        <v>0</v>
      </c>
      <c r="R137" s="501">
        <f t="shared" si="11"/>
        <v>0</v>
      </c>
      <c r="S137" s="587">
        <f t="shared" si="10"/>
        <v>0</v>
      </c>
    </row>
    <row r="138" spans="1:19" x14ac:dyDescent="0.35">
      <c r="A138" s="1039"/>
      <c r="B138" s="179"/>
      <c r="C138" s="577"/>
      <c r="D138" s="928" t="str">
        <f>IFERROR((VLOOKUP(B138,'Spend mapping'!$A$11:$C$123,3,0)),"")</f>
        <v/>
      </c>
      <c r="E138" s="168"/>
      <c r="F138" s="168"/>
      <c r="G138" s="577"/>
      <c r="H138" s="577"/>
      <c r="I138" s="577"/>
      <c r="J138" s="579"/>
      <c r="K138" s="168"/>
      <c r="L138" s="168"/>
      <c r="M138" s="168"/>
      <c r="N138" s="168"/>
      <c r="O138" s="168"/>
      <c r="P138" s="313"/>
      <c r="Q138" s="1220">
        <f t="shared" si="9"/>
        <v>0</v>
      </c>
      <c r="R138" s="501">
        <f t="shared" si="11"/>
        <v>0</v>
      </c>
      <c r="S138" s="587">
        <f t="shared" si="10"/>
        <v>0</v>
      </c>
    </row>
    <row r="139" spans="1:19" x14ac:dyDescent="0.35">
      <c r="A139" s="1039"/>
      <c r="B139" s="179"/>
      <c r="C139" s="577"/>
      <c r="D139" s="928" t="str">
        <f>IFERROR((VLOOKUP(B139,'Spend mapping'!$A$11:$C$123,3,0)),"")</f>
        <v/>
      </c>
      <c r="E139" s="168"/>
      <c r="F139" s="168"/>
      <c r="G139" s="577"/>
      <c r="H139" s="577"/>
      <c r="I139" s="577"/>
      <c r="J139" s="579"/>
      <c r="K139" s="168"/>
      <c r="L139" s="168"/>
      <c r="M139" s="168"/>
      <c r="N139" s="168"/>
      <c r="O139" s="168"/>
      <c r="P139" s="313"/>
      <c r="Q139" s="1220">
        <f t="shared" si="9"/>
        <v>0</v>
      </c>
      <c r="R139" s="501">
        <f t="shared" si="11"/>
        <v>0</v>
      </c>
      <c r="S139" s="587">
        <f t="shared" si="10"/>
        <v>0</v>
      </c>
    </row>
    <row r="140" spans="1:19" x14ac:dyDescent="0.35">
      <c r="A140" s="1039"/>
      <c r="B140" s="179"/>
      <c r="C140" s="577"/>
      <c r="D140" s="928" t="str">
        <f>IFERROR((VLOOKUP(B140,'Spend mapping'!$A$11:$C$123,3,0)),"")</f>
        <v/>
      </c>
      <c r="E140" s="168"/>
      <c r="F140" s="168"/>
      <c r="G140" s="577"/>
      <c r="H140" s="577"/>
      <c r="I140" s="577"/>
      <c r="J140" s="579"/>
      <c r="K140" s="168"/>
      <c r="L140" s="168"/>
      <c r="M140" s="168"/>
      <c r="N140" s="168"/>
      <c r="O140" s="168"/>
      <c r="P140" s="313"/>
      <c r="Q140" s="1220">
        <f t="shared" si="9"/>
        <v>0</v>
      </c>
      <c r="R140" s="501">
        <f t="shared" si="11"/>
        <v>0</v>
      </c>
      <c r="S140" s="587">
        <f t="shared" si="10"/>
        <v>0</v>
      </c>
    </row>
    <row r="141" spans="1:19" x14ac:dyDescent="0.35">
      <c r="A141" s="1039"/>
      <c r="B141" s="179"/>
      <c r="C141" s="577"/>
      <c r="D141" s="928" t="str">
        <f>IFERROR((VLOOKUP(B141,'Spend mapping'!$A$11:$C$123,3,0)),"")</f>
        <v/>
      </c>
      <c r="E141" s="168"/>
      <c r="F141" s="168"/>
      <c r="G141" s="577"/>
      <c r="H141" s="577"/>
      <c r="I141" s="577"/>
      <c r="J141" s="579"/>
      <c r="K141" s="168"/>
      <c r="L141" s="168"/>
      <c r="M141" s="168"/>
      <c r="N141" s="168"/>
      <c r="O141" s="168"/>
      <c r="P141" s="313"/>
      <c r="Q141" s="1220">
        <f t="shared" ref="Q141:Q172" si="12">E141*C141</f>
        <v>0</v>
      </c>
      <c r="R141" s="501">
        <f t="shared" si="11"/>
        <v>0</v>
      </c>
      <c r="S141" s="587">
        <f t="shared" ref="S141:S172" si="13">K141*C141</f>
        <v>0</v>
      </c>
    </row>
    <row r="142" spans="1:19" x14ac:dyDescent="0.35">
      <c r="A142" s="1039"/>
      <c r="B142" s="179"/>
      <c r="C142" s="577"/>
      <c r="D142" s="928" t="str">
        <f>IFERROR((VLOOKUP(B142,'Spend mapping'!$A$11:$C$123,3,0)),"")</f>
        <v/>
      </c>
      <c r="E142" s="168"/>
      <c r="F142" s="168"/>
      <c r="G142" s="577"/>
      <c r="H142" s="577"/>
      <c r="I142" s="577"/>
      <c r="J142" s="579"/>
      <c r="K142" s="168"/>
      <c r="L142" s="168"/>
      <c r="M142" s="168"/>
      <c r="N142" s="168"/>
      <c r="O142" s="168"/>
      <c r="P142" s="313"/>
      <c r="Q142" s="1220">
        <f t="shared" si="12"/>
        <v>0</v>
      </c>
      <c r="R142" s="501">
        <f t="shared" ref="R142:R173" si="14">C142*G142</f>
        <v>0</v>
      </c>
      <c r="S142" s="587">
        <f t="shared" si="13"/>
        <v>0</v>
      </c>
    </row>
    <row r="143" spans="1:19" x14ac:dyDescent="0.35">
      <c r="A143" s="1039"/>
      <c r="B143" s="179"/>
      <c r="C143" s="577"/>
      <c r="D143" s="928" t="str">
        <f>IFERROR((VLOOKUP(B143,'Spend mapping'!$A$11:$C$123,3,0)),"")</f>
        <v/>
      </c>
      <c r="E143" s="168"/>
      <c r="F143" s="168"/>
      <c r="G143" s="577"/>
      <c r="H143" s="577"/>
      <c r="I143" s="577"/>
      <c r="J143" s="579"/>
      <c r="K143" s="168"/>
      <c r="L143" s="168"/>
      <c r="M143" s="168"/>
      <c r="N143" s="168"/>
      <c r="O143" s="168"/>
      <c r="P143" s="313"/>
      <c r="Q143" s="1220">
        <f t="shared" si="12"/>
        <v>0</v>
      </c>
      <c r="R143" s="501">
        <f t="shared" si="14"/>
        <v>0</v>
      </c>
      <c r="S143" s="587">
        <f t="shared" si="13"/>
        <v>0</v>
      </c>
    </row>
    <row r="144" spans="1:19" x14ac:dyDescent="0.35">
      <c r="A144" s="1039"/>
      <c r="B144" s="179"/>
      <c r="C144" s="577"/>
      <c r="D144" s="928" t="str">
        <f>IFERROR((VLOOKUP(B144,'Spend mapping'!$A$11:$C$123,3,0)),"")</f>
        <v/>
      </c>
      <c r="E144" s="168"/>
      <c r="F144" s="168"/>
      <c r="G144" s="577"/>
      <c r="H144" s="577"/>
      <c r="I144" s="577"/>
      <c r="J144" s="579"/>
      <c r="K144" s="168"/>
      <c r="L144" s="168"/>
      <c r="M144" s="168"/>
      <c r="N144" s="168"/>
      <c r="O144" s="168"/>
      <c r="P144" s="313"/>
      <c r="Q144" s="1220">
        <f t="shared" si="12"/>
        <v>0</v>
      </c>
      <c r="R144" s="501">
        <f t="shared" si="14"/>
        <v>0</v>
      </c>
      <c r="S144" s="587">
        <f t="shared" si="13"/>
        <v>0</v>
      </c>
    </row>
    <row r="145" spans="1:19" x14ac:dyDescent="0.35">
      <c r="A145" s="1039"/>
      <c r="B145" s="179"/>
      <c r="C145" s="577"/>
      <c r="D145" s="928" t="str">
        <f>IFERROR((VLOOKUP(B145,'Spend mapping'!$A$11:$C$123,3,0)),"")</f>
        <v/>
      </c>
      <c r="E145" s="168"/>
      <c r="F145" s="168"/>
      <c r="G145" s="577"/>
      <c r="H145" s="577"/>
      <c r="I145" s="577"/>
      <c r="J145" s="579"/>
      <c r="K145" s="168"/>
      <c r="L145" s="168"/>
      <c r="M145" s="168"/>
      <c r="N145" s="168"/>
      <c r="O145" s="168"/>
      <c r="P145" s="313"/>
      <c r="Q145" s="1220">
        <f t="shared" si="12"/>
        <v>0</v>
      </c>
      <c r="R145" s="501">
        <f t="shared" si="14"/>
        <v>0</v>
      </c>
      <c r="S145" s="587">
        <f t="shared" si="13"/>
        <v>0</v>
      </c>
    </row>
    <row r="146" spans="1:19" x14ac:dyDescent="0.35">
      <c r="A146" s="1039"/>
      <c r="B146" s="179"/>
      <c r="C146" s="577"/>
      <c r="D146" s="928" t="str">
        <f>IFERROR((VLOOKUP(B146,'Spend mapping'!$A$11:$C$123,3,0)),"")</f>
        <v/>
      </c>
      <c r="E146" s="168"/>
      <c r="F146" s="168"/>
      <c r="G146" s="577"/>
      <c r="H146" s="577"/>
      <c r="I146" s="577"/>
      <c r="J146" s="579"/>
      <c r="K146" s="168"/>
      <c r="L146" s="168"/>
      <c r="M146" s="168"/>
      <c r="N146" s="168"/>
      <c r="O146" s="168"/>
      <c r="P146" s="313"/>
      <c r="Q146" s="1220">
        <f t="shared" si="12"/>
        <v>0</v>
      </c>
      <c r="R146" s="501">
        <f t="shared" si="14"/>
        <v>0</v>
      </c>
      <c r="S146" s="587">
        <f t="shared" si="13"/>
        <v>0</v>
      </c>
    </row>
    <row r="147" spans="1:19" x14ac:dyDescent="0.35">
      <c r="A147" s="1039"/>
      <c r="B147" s="179"/>
      <c r="C147" s="577"/>
      <c r="D147" s="928" t="str">
        <f>IFERROR((VLOOKUP(B147,'Spend mapping'!$A$11:$C$123,3,0)),"")</f>
        <v/>
      </c>
      <c r="E147" s="168"/>
      <c r="F147" s="168"/>
      <c r="G147" s="577"/>
      <c r="H147" s="577"/>
      <c r="I147" s="577"/>
      <c r="J147" s="579"/>
      <c r="K147" s="168"/>
      <c r="L147" s="168"/>
      <c r="M147" s="168"/>
      <c r="N147" s="168"/>
      <c r="O147" s="168"/>
      <c r="P147" s="313"/>
      <c r="Q147" s="1220">
        <f t="shared" si="12"/>
        <v>0</v>
      </c>
      <c r="R147" s="501">
        <f t="shared" si="14"/>
        <v>0</v>
      </c>
      <c r="S147" s="587">
        <f t="shared" si="13"/>
        <v>0</v>
      </c>
    </row>
    <row r="148" spans="1:19" x14ac:dyDescent="0.35">
      <c r="A148" s="1039"/>
      <c r="B148" s="179"/>
      <c r="C148" s="577"/>
      <c r="D148" s="928" t="str">
        <f>IFERROR((VLOOKUP(B148,'Spend mapping'!$A$11:$C$123,3,0)),"")</f>
        <v/>
      </c>
      <c r="E148" s="168"/>
      <c r="F148" s="168"/>
      <c r="G148" s="577"/>
      <c r="H148" s="577"/>
      <c r="I148" s="577"/>
      <c r="J148" s="579"/>
      <c r="K148" s="168"/>
      <c r="L148" s="168"/>
      <c r="M148" s="168"/>
      <c r="N148" s="168"/>
      <c r="O148" s="168"/>
      <c r="P148" s="313"/>
      <c r="Q148" s="1220">
        <f t="shared" si="12"/>
        <v>0</v>
      </c>
      <c r="R148" s="501">
        <f t="shared" si="14"/>
        <v>0</v>
      </c>
      <c r="S148" s="587">
        <f t="shared" si="13"/>
        <v>0</v>
      </c>
    </row>
    <row r="149" spans="1:19" x14ac:dyDescent="0.35">
      <c r="A149" s="1039"/>
      <c r="B149" s="179"/>
      <c r="C149" s="577"/>
      <c r="D149" s="928" t="str">
        <f>IFERROR((VLOOKUP(B149,'Spend mapping'!$A$11:$C$123,3,0)),"")</f>
        <v/>
      </c>
      <c r="E149" s="168"/>
      <c r="F149" s="168"/>
      <c r="G149" s="577"/>
      <c r="H149" s="577"/>
      <c r="I149" s="577"/>
      <c r="J149" s="579"/>
      <c r="K149" s="168"/>
      <c r="L149" s="168"/>
      <c r="M149" s="168"/>
      <c r="N149" s="168"/>
      <c r="O149" s="168"/>
      <c r="P149" s="313"/>
      <c r="Q149" s="1220">
        <f t="shared" si="12"/>
        <v>0</v>
      </c>
      <c r="R149" s="501">
        <f t="shared" si="14"/>
        <v>0</v>
      </c>
      <c r="S149" s="587">
        <f t="shared" si="13"/>
        <v>0</v>
      </c>
    </row>
    <row r="150" spans="1:19" x14ac:dyDescent="0.35">
      <c r="A150" s="1039"/>
      <c r="B150" s="179"/>
      <c r="C150" s="577"/>
      <c r="D150" s="928" t="str">
        <f>IFERROR((VLOOKUP(B150,'Spend mapping'!$A$11:$C$123,3,0)),"")</f>
        <v/>
      </c>
      <c r="E150" s="168"/>
      <c r="F150" s="168"/>
      <c r="G150" s="577"/>
      <c r="H150" s="577"/>
      <c r="I150" s="577"/>
      <c r="J150" s="579"/>
      <c r="K150" s="168"/>
      <c r="L150" s="168"/>
      <c r="M150" s="168"/>
      <c r="N150" s="168"/>
      <c r="O150" s="168"/>
      <c r="P150" s="313"/>
      <c r="Q150" s="1220">
        <f t="shared" si="12"/>
        <v>0</v>
      </c>
      <c r="R150" s="501">
        <f t="shared" si="14"/>
        <v>0</v>
      </c>
      <c r="S150" s="587">
        <f t="shared" si="13"/>
        <v>0</v>
      </c>
    </row>
    <row r="151" spans="1:19" x14ac:dyDescent="0.35">
      <c r="A151" s="1039"/>
      <c r="B151" s="179"/>
      <c r="C151" s="577"/>
      <c r="D151" s="928" t="str">
        <f>IFERROR((VLOOKUP(B151,'Spend mapping'!$A$11:$C$123,3,0)),"")</f>
        <v/>
      </c>
      <c r="E151" s="168"/>
      <c r="F151" s="168"/>
      <c r="G151" s="577"/>
      <c r="H151" s="577"/>
      <c r="I151" s="577"/>
      <c r="J151" s="579"/>
      <c r="K151" s="168"/>
      <c r="L151" s="168"/>
      <c r="M151" s="168"/>
      <c r="N151" s="168"/>
      <c r="O151" s="168"/>
      <c r="P151" s="313"/>
      <c r="Q151" s="1220">
        <f t="shared" si="12"/>
        <v>0</v>
      </c>
      <c r="R151" s="501">
        <f t="shared" si="14"/>
        <v>0</v>
      </c>
      <c r="S151" s="587">
        <f t="shared" si="13"/>
        <v>0</v>
      </c>
    </row>
    <row r="152" spans="1:19" x14ac:dyDescent="0.35">
      <c r="A152" s="1039"/>
      <c r="B152" s="179"/>
      <c r="C152" s="577"/>
      <c r="D152" s="928" t="str">
        <f>IFERROR((VLOOKUP(B152,'Spend mapping'!$A$11:$C$123,3,0)),"")</f>
        <v/>
      </c>
      <c r="E152" s="168"/>
      <c r="F152" s="168"/>
      <c r="G152" s="577"/>
      <c r="H152" s="577"/>
      <c r="I152" s="577"/>
      <c r="J152" s="579"/>
      <c r="K152" s="168"/>
      <c r="L152" s="168"/>
      <c r="M152" s="168"/>
      <c r="N152" s="168"/>
      <c r="O152" s="168"/>
      <c r="P152" s="313"/>
      <c r="Q152" s="1220">
        <f t="shared" si="12"/>
        <v>0</v>
      </c>
      <c r="R152" s="501">
        <f t="shared" si="14"/>
        <v>0</v>
      </c>
      <c r="S152" s="587">
        <f t="shared" si="13"/>
        <v>0</v>
      </c>
    </row>
    <row r="153" spans="1:19" x14ac:dyDescent="0.35">
      <c r="A153" s="1039"/>
      <c r="B153" s="179"/>
      <c r="C153" s="577"/>
      <c r="D153" s="928" t="str">
        <f>IFERROR((VLOOKUP(B153,'Spend mapping'!$A$11:$C$123,3,0)),"")</f>
        <v/>
      </c>
      <c r="E153" s="168"/>
      <c r="F153" s="168"/>
      <c r="G153" s="577"/>
      <c r="H153" s="577"/>
      <c r="I153" s="577"/>
      <c r="J153" s="579"/>
      <c r="K153" s="168"/>
      <c r="L153" s="168"/>
      <c r="M153" s="168"/>
      <c r="N153" s="168"/>
      <c r="O153" s="168"/>
      <c r="P153" s="313"/>
      <c r="Q153" s="1220">
        <f t="shared" si="12"/>
        <v>0</v>
      </c>
      <c r="R153" s="501">
        <f t="shared" si="14"/>
        <v>0</v>
      </c>
      <c r="S153" s="587">
        <f t="shared" si="13"/>
        <v>0</v>
      </c>
    </row>
    <row r="154" spans="1:19" x14ac:dyDescent="0.35">
      <c r="A154" s="1039"/>
      <c r="B154" s="179"/>
      <c r="C154" s="577"/>
      <c r="D154" s="928" t="str">
        <f>IFERROR((VLOOKUP(B154,'Spend mapping'!$A$11:$C$123,3,0)),"")</f>
        <v/>
      </c>
      <c r="E154" s="168"/>
      <c r="F154" s="168"/>
      <c r="G154" s="577"/>
      <c r="H154" s="577"/>
      <c r="I154" s="577"/>
      <c r="J154" s="579"/>
      <c r="K154" s="168"/>
      <c r="L154" s="168"/>
      <c r="M154" s="168"/>
      <c r="N154" s="168"/>
      <c r="O154" s="168"/>
      <c r="P154" s="313"/>
      <c r="Q154" s="1220">
        <f t="shared" si="12"/>
        <v>0</v>
      </c>
      <c r="R154" s="501">
        <f t="shared" si="14"/>
        <v>0</v>
      </c>
      <c r="S154" s="587">
        <f t="shared" si="13"/>
        <v>0</v>
      </c>
    </row>
    <row r="155" spans="1:19" x14ac:dyDescent="0.35">
      <c r="A155" s="1039"/>
      <c r="B155" s="179"/>
      <c r="C155" s="577"/>
      <c r="D155" s="928" t="str">
        <f>IFERROR((VLOOKUP(B155,'Spend mapping'!$A$11:$C$123,3,0)),"")</f>
        <v/>
      </c>
      <c r="E155" s="168"/>
      <c r="F155" s="168"/>
      <c r="G155" s="577"/>
      <c r="H155" s="577"/>
      <c r="I155" s="577"/>
      <c r="J155" s="579"/>
      <c r="K155" s="168"/>
      <c r="L155" s="168"/>
      <c r="M155" s="168"/>
      <c r="N155" s="168"/>
      <c r="O155" s="168"/>
      <c r="P155" s="313"/>
      <c r="Q155" s="1220">
        <f t="shared" si="12"/>
        <v>0</v>
      </c>
      <c r="R155" s="501">
        <f t="shared" si="14"/>
        <v>0</v>
      </c>
      <c r="S155" s="587">
        <f t="shared" si="13"/>
        <v>0</v>
      </c>
    </row>
    <row r="156" spans="1:19" x14ac:dyDescent="0.35">
      <c r="A156" s="1039"/>
      <c r="B156" s="179"/>
      <c r="C156" s="577"/>
      <c r="D156" s="928" t="str">
        <f>IFERROR((VLOOKUP(B156,'Spend mapping'!$A$11:$C$123,3,0)),"")</f>
        <v/>
      </c>
      <c r="E156" s="168"/>
      <c r="F156" s="168"/>
      <c r="G156" s="577"/>
      <c r="H156" s="577"/>
      <c r="I156" s="577"/>
      <c r="J156" s="579"/>
      <c r="K156" s="168"/>
      <c r="L156" s="168"/>
      <c r="M156" s="168"/>
      <c r="N156" s="168"/>
      <c r="O156" s="168"/>
      <c r="P156" s="313"/>
      <c r="Q156" s="1220">
        <f t="shared" si="12"/>
        <v>0</v>
      </c>
      <c r="R156" s="501">
        <f t="shared" si="14"/>
        <v>0</v>
      </c>
      <c r="S156" s="587">
        <f t="shared" si="13"/>
        <v>0</v>
      </c>
    </row>
    <row r="157" spans="1:19" x14ac:dyDescent="0.35">
      <c r="A157" s="1039"/>
      <c r="B157" s="179"/>
      <c r="C157" s="577"/>
      <c r="D157" s="928" t="str">
        <f>IFERROR((VLOOKUP(B157,'Spend mapping'!$A$11:$C$123,3,0)),"")</f>
        <v/>
      </c>
      <c r="E157" s="168"/>
      <c r="F157" s="168"/>
      <c r="G157" s="577"/>
      <c r="H157" s="577"/>
      <c r="I157" s="577"/>
      <c r="J157" s="579"/>
      <c r="K157" s="168"/>
      <c r="L157" s="168"/>
      <c r="M157" s="168"/>
      <c r="N157" s="168"/>
      <c r="O157" s="168"/>
      <c r="P157" s="313"/>
      <c r="Q157" s="1220">
        <f t="shared" si="12"/>
        <v>0</v>
      </c>
      <c r="R157" s="501">
        <f t="shared" si="14"/>
        <v>0</v>
      </c>
      <c r="S157" s="587">
        <f t="shared" si="13"/>
        <v>0</v>
      </c>
    </row>
    <row r="158" spans="1:19" x14ac:dyDescent="0.35">
      <c r="A158" s="1039"/>
      <c r="B158" s="179"/>
      <c r="C158" s="577"/>
      <c r="D158" s="928" t="str">
        <f>IFERROR((VLOOKUP(B158,'Spend mapping'!$A$11:$C$123,3,0)),"")</f>
        <v/>
      </c>
      <c r="E158" s="168"/>
      <c r="F158" s="168"/>
      <c r="G158" s="577"/>
      <c r="H158" s="577"/>
      <c r="I158" s="577"/>
      <c r="J158" s="579"/>
      <c r="K158" s="168"/>
      <c r="L158" s="168"/>
      <c r="M158" s="168"/>
      <c r="N158" s="168"/>
      <c r="O158" s="168"/>
      <c r="P158" s="313"/>
      <c r="Q158" s="1220">
        <f t="shared" si="12"/>
        <v>0</v>
      </c>
      <c r="R158" s="501">
        <f t="shared" si="14"/>
        <v>0</v>
      </c>
      <c r="S158" s="587">
        <f t="shared" si="13"/>
        <v>0</v>
      </c>
    </row>
    <row r="159" spans="1:19" x14ac:dyDescent="0.35">
      <c r="A159" s="1039"/>
      <c r="B159" s="179"/>
      <c r="C159" s="577"/>
      <c r="D159" s="928" t="str">
        <f>IFERROR((VLOOKUP(B159,'Spend mapping'!$A$11:$C$123,3,0)),"")</f>
        <v/>
      </c>
      <c r="E159" s="168"/>
      <c r="F159" s="168"/>
      <c r="G159" s="577"/>
      <c r="H159" s="577"/>
      <c r="I159" s="577"/>
      <c r="J159" s="579"/>
      <c r="K159" s="168"/>
      <c r="L159" s="168"/>
      <c r="M159" s="168"/>
      <c r="N159" s="168"/>
      <c r="O159" s="168"/>
      <c r="P159" s="313"/>
      <c r="Q159" s="1220">
        <f t="shared" si="12"/>
        <v>0</v>
      </c>
      <c r="R159" s="501">
        <f t="shared" si="14"/>
        <v>0</v>
      </c>
      <c r="S159" s="587">
        <f t="shared" si="13"/>
        <v>0</v>
      </c>
    </row>
    <row r="160" spans="1:19" x14ac:dyDescent="0.35">
      <c r="A160" s="1039"/>
      <c r="B160" s="179"/>
      <c r="C160" s="577"/>
      <c r="D160" s="928" t="str">
        <f>IFERROR((VLOOKUP(B160,'Spend mapping'!$A$11:$C$123,3,0)),"")</f>
        <v/>
      </c>
      <c r="E160" s="168"/>
      <c r="F160" s="168"/>
      <c r="G160" s="577"/>
      <c r="H160" s="577"/>
      <c r="I160" s="577"/>
      <c r="J160" s="579"/>
      <c r="K160" s="168"/>
      <c r="L160" s="168"/>
      <c r="M160" s="168"/>
      <c r="N160" s="168"/>
      <c r="O160" s="168"/>
      <c r="P160" s="313"/>
      <c r="Q160" s="1220">
        <f t="shared" si="12"/>
        <v>0</v>
      </c>
      <c r="R160" s="501">
        <f t="shared" si="14"/>
        <v>0</v>
      </c>
      <c r="S160" s="587">
        <f t="shared" si="13"/>
        <v>0</v>
      </c>
    </row>
    <row r="161" spans="1:19" x14ac:dyDescent="0.35">
      <c r="A161" s="1039"/>
      <c r="B161" s="179"/>
      <c r="C161" s="577"/>
      <c r="D161" s="928" t="str">
        <f>IFERROR((VLOOKUP(B161,'Spend mapping'!$A$11:$C$123,3,0)),"")</f>
        <v/>
      </c>
      <c r="E161" s="168"/>
      <c r="F161" s="168"/>
      <c r="G161" s="577"/>
      <c r="H161" s="577"/>
      <c r="I161" s="577"/>
      <c r="J161" s="579"/>
      <c r="K161" s="168"/>
      <c r="L161" s="168"/>
      <c r="M161" s="168"/>
      <c r="N161" s="168"/>
      <c r="O161" s="168"/>
      <c r="P161" s="313"/>
      <c r="Q161" s="1220">
        <f t="shared" si="12"/>
        <v>0</v>
      </c>
      <c r="R161" s="501">
        <f t="shared" si="14"/>
        <v>0</v>
      </c>
      <c r="S161" s="587">
        <f t="shared" si="13"/>
        <v>0</v>
      </c>
    </row>
    <row r="162" spans="1:19" x14ac:dyDescent="0.35">
      <c r="A162" s="1039"/>
      <c r="B162" s="179"/>
      <c r="C162" s="577"/>
      <c r="D162" s="928" t="str">
        <f>IFERROR((VLOOKUP(B162,'Spend mapping'!$A$11:$C$123,3,0)),"")</f>
        <v/>
      </c>
      <c r="E162" s="168"/>
      <c r="F162" s="168"/>
      <c r="G162" s="577"/>
      <c r="H162" s="577"/>
      <c r="I162" s="577"/>
      <c r="J162" s="579"/>
      <c r="K162" s="168"/>
      <c r="L162" s="168"/>
      <c r="M162" s="168"/>
      <c r="N162" s="168"/>
      <c r="O162" s="168"/>
      <c r="P162" s="313"/>
      <c r="Q162" s="1220">
        <f t="shared" si="12"/>
        <v>0</v>
      </c>
      <c r="R162" s="501">
        <f t="shared" si="14"/>
        <v>0</v>
      </c>
      <c r="S162" s="587">
        <f t="shared" si="13"/>
        <v>0</v>
      </c>
    </row>
    <row r="163" spans="1:19" x14ac:dyDescent="0.35">
      <c r="A163" s="1039"/>
      <c r="B163" s="179"/>
      <c r="C163" s="577"/>
      <c r="D163" s="928" t="str">
        <f>IFERROR((VLOOKUP(B163,'Spend mapping'!$A$11:$C$123,3,0)),"")</f>
        <v/>
      </c>
      <c r="E163" s="168"/>
      <c r="F163" s="168"/>
      <c r="G163" s="577"/>
      <c r="H163" s="577"/>
      <c r="I163" s="577"/>
      <c r="J163" s="579"/>
      <c r="K163" s="168"/>
      <c r="L163" s="168"/>
      <c r="M163" s="168"/>
      <c r="N163" s="168"/>
      <c r="O163" s="168"/>
      <c r="P163" s="313"/>
      <c r="Q163" s="1220">
        <f t="shared" si="12"/>
        <v>0</v>
      </c>
      <c r="R163" s="501">
        <f t="shared" si="14"/>
        <v>0</v>
      </c>
      <c r="S163" s="587">
        <f t="shared" si="13"/>
        <v>0</v>
      </c>
    </row>
    <row r="164" spans="1:19" x14ac:dyDescent="0.35">
      <c r="A164" s="1039"/>
      <c r="B164" s="179"/>
      <c r="C164" s="577"/>
      <c r="D164" s="928" t="str">
        <f>IFERROR((VLOOKUP(B164,'Spend mapping'!$A$11:$C$123,3,0)),"")</f>
        <v/>
      </c>
      <c r="E164" s="168"/>
      <c r="F164" s="168"/>
      <c r="G164" s="577"/>
      <c r="H164" s="577"/>
      <c r="I164" s="577"/>
      <c r="J164" s="579"/>
      <c r="K164" s="168"/>
      <c r="L164" s="168"/>
      <c r="M164" s="168"/>
      <c r="N164" s="168"/>
      <c r="O164" s="168"/>
      <c r="P164" s="313"/>
      <c r="Q164" s="1220">
        <f t="shared" si="12"/>
        <v>0</v>
      </c>
      <c r="R164" s="501">
        <f t="shared" si="14"/>
        <v>0</v>
      </c>
      <c r="S164" s="587">
        <f t="shared" si="13"/>
        <v>0</v>
      </c>
    </row>
    <row r="165" spans="1:19" x14ac:dyDescent="0.35">
      <c r="A165" s="1039"/>
      <c r="B165" s="179"/>
      <c r="C165" s="577"/>
      <c r="D165" s="928" t="str">
        <f>IFERROR((VLOOKUP(B165,'Spend mapping'!$A$11:$C$123,3,0)),"")</f>
        <v/>
      </c>
      <c r="E165" s="168"/>
      <c r="F165" s="168"/>
      <c r="G165" s="577"/>
      <c r="H165" s="577"/>
      <c r="I165" s="577"/>
      <c r="J165" s="579"/>
      <c r="K165" s="168"/>
      <c r="L165" s="168"/>
      <c r="M165" s="168"/>
      <c r="N165" s="168"/>
      <c r="O165" s="168"/>
      <c r="P165" s="313"/>
      <c r="Q165" s="1220">
        <f t="shared" si="12"/>
        <v>0</v>
      </c>
      <c r="R165" s="501">
        <f t="shared" si="14"/>
        <v>0</v>
      </c>
      <c r="S165" s="587">
        <f t="shared" si="13"/>
        <v>0</v>
      </c>
    </row>
    <row r="166" spans="1:19" x14ac:dyDescent="0.35">
      <c r="A166" s="1039"/>
      <c r="B166" s="179"/>
      <c r="C166" s="577"/>
      <c r="D166" s="928" t="str">
        <f>IFERROR((VLOOKUP(B166,'Spend mapping'!$A$11:$C$123,3,0)),"")</f>
        <v/>
      </c>
      <c r="E166" s="168"/>
      <c r="F166" s="168"/>
      <c r="G166" s="577"/>
      <c r="H166" s="577"/>
      <c r="I166" s="577"/>
      <c r="J166" s="579"/>
      <c r="K166" s="168"/>
      <c r="L166" s="168"/>
      <c r="M166" s="168"/>
      <c r="N166" s="168"/>
      <c r="O166" s="168"/>
      <c r="P166" s="313"/>
      <c r="Q166" s="1220">
        <f t="shared" si="12"/>
        <v>0</v>
      </c>
      <c r="R166" s="501">
        <f t="shared" si="14"/>
        <v>0</v>
      </c>
      <c r="S166" s="587">
        <f t="shared" si="13"/>
        <v>0</v>
      </c>
    </row>
    <row r="167" spans="1:19" x14ac:dyDescent="0.35">
      <c r="A167" s="1039"/>
      <c r="B167" s="179"/>
      <c r="C167" s="577"/>
      <c r="D167" s="928" t="str">
        <f>IFERROR((VLOOKUP(B167,'Spend mapping'!$A$11:$C$123,3,0)),"")</f>
        <v/>
      </c>
      <c r="E167" s="168"/>
      <c r="F167" s="168"/>
      <c r="G167" s="577"/>
      <c r="H167" s="577"/>
      <c r="I167" s="577"/>
      <c r="J167" s="579"/>
      <c r="K167" s="168"/>
      <c r="L167" s="168"/>
      <c r="M167" s="168"/>
      <c r="N167" s="168"/>
      <c r="O167" s="168"/>
      <c r="P167" s="313"/>
      <c r="Q167" s="1220">
        <f t="shared" si="12"/>
        <v>0</v>
      </c>
      <c r="R167" s="501">
        <f t="shared" si="14"/>
        <v>0</v>
      </c>
      <c r="S167" s="587">
        <f t="shared" si="13"/>
        <v>0</v>
      </c>
    </row>
    <row r="168" spans="1:19" x14ac:dyDescent="0.35">
      <c r="A168" s="1039"/>
      <c r="B168" s="179"/>
      <c r="C168" s="577"/>
      <c r="D168" s="928" t="str">
        <f>IFERROR((VLOOKUP(B168,'Spend mapping'!$A$11:$C$123,3,0)),"")</f>
        <v/>
      </c>
      <c r="E168" s="168"/>
      <c r="F168" s="168"/>
      <c r="G168" s="577"/>
      <c r="H168" s="577"/>
      <c r="I168" s="577"/>
      <c r="J168" s="579"/>
      <c r="K168" s="168"/>
      <c r="L168" s="168"/>
      <c r="M168" s="168"/>
      <c r="N168" s="168"/>
      <c r="O168" s="168"/>
      <c r="P168" s="313"/>
      <c r="Q168" s="1220">
        <f t="shared" si="12"/>
        <v>0</v>
      </c>
      <c r="R168" s="501">
        <f t="shared" si="14"/>
        <v>0</v>
      </c>
      <c r="S168" s="587">
        <f t="shared" si="13"/>
        <v>0</v>
      </c>
    </row>
    <row r="169" spans="1:19" x14ac:dyDescent="0.35">
      <c r="A169" s="1039"/>
      <c r="B169" s="179"/>
      <c r="C169" s="577"/>
      <c r="D169" s="928" t="str">
        <f>IFERROR((VLOOKUP(B169,'Spend mapping'!$A$11:$C$123,3,0)),"")</f>
        <v/>
      </c>
      <c r="E169" s="168"/>
      <c r="F169" s="168"/>
      <c r="G169" s="577"/>
      <c r="H169" s="577"/>
      <c r="I169" s="577"/>
      <c r="J169" s="579"/>
      <c r="K169" s="168"/>
      <c r="L169" s="168"/>
      <c r="M169" s="168"/>
      <c r="N169" s="168"/>
      <c r="O169" s="168"/>
      <c r="P169" s="313"/>
      <c r="Q169" s="1220">
        <f t="shared" si="12"/>
        <v>0</v>
      </c>
      <c r="R169" s="501">
        <f t="shared" si="14"/>
        <v>0</v>
      </c>
      <c r="S169" s="587">
        <f t="shared" si="13"/>
        <v>0</v>
      </c>
    </row>
    <row r="170" spans="1:19" x14ac:dyDescent="0.35">
      <c r="A170" s="1039"/>
      <c r="B170" s="179"/>
      <c r="C170" s="577"/>
      <c r="D170" s="928" t="str">
        <f>IFERROR((VLOOKUP(B170,'Spend mapping'!$A$11:$C$123,3,0)),"")</f>
        <v/>
      </c>
      <c r="E170" s="168"/>
      <c r="F170" s="168"/>
      <c r="G170" s="577"/>
      <c r="H170" s="577"/>
      <c r="I170" s="577"/>
      <c r="J170" s="579"/>
      <c r="K170" s="168"/>
      <c r="L170" s="168"/>
      <c r="M170" s="168"/>
      <c r="N170" s="168"/>
      <c r="O170" s="168"/>
      <c r="P170" s="313"/>
      <c r="Q170" s="1220">
        <f t="shared" si="12"/>
        <v>0</v>
      </c>
      <c r="R170" s="501">
        <f t="shared" si="14"/>
        <v>0</v>
      </c>
      <c r="S170" s="587">
        <f t="shared" si="13"/>
        <v>0</v>
      </c>
    </row>
    <row r="171" spans="1:19" x14ac:dyDescent="0.35">
      <c r="A171" s="1039"/>
      <c r="B171" s="179"/>
      <c r="C171" s="577"/>
      <c r="D171" s="928" t="str">
        <f>IFERROR((VLOOKUP(B171,'Spend mapping'!$A$11:$C$123,3,0)),"")</f>
        <v/>
      </c>
      <c r="E171" s="168"/>
      <c r="F171" s="168"/>
      <c r="G171" s="577"/>
      <c r="H171" s="577"/>
      <c r="I171" s="577"/>
      <c r="J171" s="579"/>
      <c r="K171" s="168"/>
      <c r="L171" s="168"/>
      <c r="M171" s="168"/>
      <c r="N171" s="168"/>
      <c r="O171" s="168"/>
      <c r="P171" s="313"/>
      <c r="Q171" s="1220">
        <f t="shared" si="12"/>
        <v>0</v>
      </c>
      <c r="R171" s="501">
        <f t="shared" si="14"/>
        <v>0</v>
      </c>
      <c r="S171" s="587">
        <f t="shared" si="13"/>
        <v>0</v>
      </c>
    </row>
    <row r="172" spans="1:19" x14ac:dyDescent="0.35">
      <c r="A172" s="1039"/>
      <c r="B172" s="179"/>
      <c r="C172" s="577"/>
      <c r="D172" s="928" t="str">
        <f>IFERROR((VLOOKUP(B172,'Spend mapping'!$A$11:$C$123,3,0)),"")</f>
        <v/>
      </c>
      <c r="E172" s="168"/>
      <c r="F172" s="168"/>
      <c r="G172" s="577"/>
      <c r="H172" s="577"/>
      <c r="I172" s="577"/>
      <c r="J172" s="579"/>
      <c r="K172" s="168"/>
      <c r="L172" s="168"/>
      <c r="M172" s="168"/>
      <c r="N172" s="168"/>
      <c r="O172" s="168"/>
      <c r="P172" s="313"/>
      <c r="Q172" s="1220">
        <f t="shared" si="12"/>
        <v>0</v>
      </c>
      <c r="R172" s="501">
        <f t="shared" si="14"/>
        <v>0</v>
      </c>
      <c r="S172" s="587">
        <f t="shared" si="13"/>
        <v>0</v>
      </c>
    </row>
    <row r="173" spans="1:19" x14ac:dyDescent="0.35">
      <c r="A173" s="1039"/>
      <c r="B173" s="179"/>
      <c r="C173" s="577"/>
      <c r="D173" s="928" t="str">
        <f>IFERROR((VLOOKUP(B173,'Spend mapping'!$A$11:$C$123,3,0)),"")</f>
        <v/>
      </c>
      <c r="E173" s="168"/>
      <c r="F173" s="168"/>
      <c r="G173" s="577"/>
      <c r="H173" s="577"/>
      <c r="I173" s="577"/>
      <c r="J173" s="579"/>
      <c r="K173" s="168"/>
      <c r="L173" s="168"/>
      <c r="M173" s="168"/>
      <c r="N173" s="168"/>
      <c r="O173" s="168"/>
      <c r="P173" s="313"/>
      <c r="Q173" s="1220">
        <f t="shared" ref="Q173:Q205" si="15">E173*C173</f>
        <v>0</v>
      </c>
      <c r="R173" s="501">
        <f t="shared" si="14"/>
        <v>0</v>
      </c>
      <c r="S173" s="587">
        <f t="shared" ref="S173:S205" si="16">K173*C173</f>
        <v>0</v>
      </c>
    </row>
    <row r="174" spans="1:19" x14ac:dyDescent="0.35">
      <c r="A174" s="1039"/>
      <c r="B174" s="179"/>
      <c r="C174" s="577"/>
      <c r="D174" s="928" t="str">
        <f>IFERROR((VLOOKUP(B174,'Spend mapping'!$A$11:$C$123,3,0)),"")</f>
        <v/>
      </c>
      <c r="E174" s="168"/>
      <c r="F174" s="168"/>
      <c r="G174" s="577"/>
      <c r="H174" s="577"/>
      <c r="I174" s="577"/>
      <c r="J174" s="579"/>
      <c r="K174" s="168"/>
      <c r="L174" s="168"/>
      <c r="M174" s="168"/>
      <c r="N174" s="168"/>
      <c r="O174" s="168"/>
      <c r="P174" s="313"/>
      <c r="Q174" s="1220">
        <f t="shared" si="15"/>
        <v>0</v>
      </c>
      <c r="R174" s="501">
        <f t="shared" ref="R174:R205" si="17">C174*G174</f>
        <v>0</v>
      </c>
      <c r="S174" s="587">
        <f t="shared" si="16"/>
        <v>0</v>
      </c>
    </row>
    <row r="175" spans="1:19" x14ac:dyDescent="0.35">
      <c r="A175" s="1039"/>
      <c r="B175" s="179"/>
      <c r="C175" s="577"/>
      <c r="D175" s="928" t="str">
        <f>IFERROR((VLOOKUP(B175,'Spend mapping'!$A$11:$C$123,3,0)),"")</f>
        <v/>
      </c>
      <c r="E175" s="168"/>
      <c r="F175" s="168"/>
      <c r="G175" s="577"/>
      <c r="H175" s="577"/>
      <c r="I175" s="577"/>
      <c r="J175" s="579"/>
      <c r="K175" s="168"/>
      <c r="L175" s="168"/>
      <c r="M175" s="168"/>
      <c r="N175" s="168"/>
      <c r="O175" s="168"/>
      <c r="P175" s="313"/>
      <c r="Q175" s="1220">
        <f t="shared" si="15"/>
        <v>0</v>
      </c>
      <c r="R175" s="501">
        <f t="shared" si="17"/>
        <v>0</v>
      </c>
      <c r="S175" s="587">
        <f t="shared" si="16"/>
        <v>0</v>
      </c>
    </row>
    <row r="176" spans="1:19" x14ac:dyDescent="0.35">
      <c r="A176" s="1039"/>
      <c r="B176" s="179"/>
      <c r="C176" s="577"/>
      <c r="D176" s="928" t="str">
        <f>IFERROR((VLOOKUP(B176,'Spend mapping'!$A$11:$C$123,3,0)),"")</f>
        <v/>
      </c>
      <c r="E176" s="168"/>
      <c r="F176" s="168"/>
      <c r="G176" s="577"/>
      <c r="H176" s="577"/>
      <c r="I176" s="577"/>
      <c r="J176" s="579"/>
      <c r="K176" s="168"/>
      <c r="L176" s="168"/>
      <c r="M176" s="168"/>
      <c r="N176" s="168"/>
      <c r="O176" s="168"/>
      <c r="P176" s="313"/>
      <c r="Q176" s="1220">
        <f t="shared" si="15"/>
        <v>0</v>
      </c>
      <c r="R176" s="501">
        <f t="shared" si="17"/>
        <v>0</v>
      </c>
      <c r="S176" s="587">
        <f t="shared" si="16"/>
        <v>0</v>
      </c>
    </row>
    <row r="177" spans="1:19" x14ac:dyDescent="0.35">
      <c r="A177" s="1039"/>
      <c r="B177" s="179"/>
      <c r="C177" s="577"/>
      <c r="D177" s="928" t="str">
        <f>IFERROR((VLOOKUP(B177,'Spend mapping'!$A$11:$C$123,3,0)),"")</f>
        <v/>
      </c>
      <c r="E177" s="168"/>
      <c r="F177" s="168"/>
      <c r="G177" s="577"/>
      <c r="H177" s="577"/>
      <c r="I177" s="577"/>
      <c r="J177" s="579"/>
      <c r="K177" s="168"/>
      <c r="L177" s="168"/>
      <c r="M177" s="168"/>
      <c r="N177" s="168"/>
      <c r="O177" s="168"/>
      <c r="P177" s="313"/>
      <c r="Q177" s="1220">
        <f t="shared" si="15"/>
        <v>0</v>
      </c>
      <c r="R177" s="501">
        <f t="shared" si="17"/>
        <v>0</v>
      </c>
      <c r="S177" s="587">
        <f t="shared" si="16"/>
        <v>0</v>
      </c>
    </row>
    <row r="178" spans="1:19" x14ac:dyDescent="0.35">
      <c r="A178" s="1039"/>
      <c r="B178" s="179"/>
      <c r="C178" s="577"/>
      <c r="D178" s="928" t="str">
        <f>IFERROR((VLOOKUP(B178,'Spend mapping'!$A$11:$C$123,3,0)),"")</f>
        <v/>
      </c>
      <c r="E178" s="168"/>
      <c r="F178" s="168"/>
      <c r="G178" s="577"/>
      <c r="H178" s="577"/>
      <c r="I178" s="577"/>
      <c r="J178" s="579"/>
      <c r="K178" s="168"/>
      <c r="L178" s="168"/>
      <c r="M178" s="168"/>
      <c r="N178" s="168"/>
      <c r="O178" s="168"/>
      <c r="P178" s="313"/>
      <c r="Q178" s="1220">
        <f t="shared" si="15"/>
        <v>0</v>
      </c>
      <c r="R178" s="501">
        <f t="shared" si="17"/>
        <v>0</v>
      </c>
      <c r="S178" s="587">
        <f t="shared" si="16"/>
        <v>0</v>
      </c>
    </row>
    <row r="179" spans="1:19" x14ac:dyDescent="0.35">
      <c r="A179" s="1039"/>
      <c r="B179" s="179"/>
      <c r="C179" s="577"/>
      <c r="D179" s="928" t="str">
        <f>IFERROR((VLOOKUP(B179,'Spend mapping'!$A$11:$C$123,3,0)),"")</f>
        <v/>
      </c>
      <c r="E179" s="168"/>
      <c r="F179" s="168"/>
      <c r="G179" s="577"/>
      <c r="H179" s="577"/>
      <c r="I179" s="577"/>
      <c r="J179" s="579"/>
      <c r="K179" s="168"/>
      <c r="L179" s="168"/>
      <c r="M179" s="168"/>
      <c r="N179" s="168"/>
      <c r="O179" s="168"/>
      <c r="P179" s="313"/>
      <c r="Q179" s="1220">
        <f t="shared" si="15"/>
        <v>0</v>
      </c>
      <c r="R179" s="501">
        <f t="shared" si="17"/>
        <v>0</v>
      </c>
      <c r="S179" s="587">
        <f t="shared" si="16"/>
        <v>0</v>
      </c>
    </row>
    <row r="180" spans="1:19" x14ac:dyDescent="0.35">
      <c r="A180" s="1039"/>
      <c r="B180" s="179"/>
      <c r="C180" s="577"/>
      <c r="D180" s="928" t="str">
        <f>IFERROR((VLOOKUP(B180,'Spend mapping'!$A$11:$C$123,3,0)),"")</f>
        <v/>
      </c>
      <c r="E180" s="168"/>
      <c r="F180" s="168"/>
      <c r="G180" s="577"/>
      <c r="H180" s="577"/>
      <c r="I180" s="577"/>
      <c r="J180" s="579"/>
      <c r="K180" s="168"/>
      <c r="L180" s="168"/>
      <c r="M180" s="168"/>
      <c r="N180" s="168"/>
      <c r="O180" s="168"/>
      <c r="P180" s="313"/>
      <c r="Q180" s="1220">
        <f t="shared" si="15"/>
        <v>0</v>
      </c>
      <c r="R180" s="501">
        <f t="shared" si="17"/>
        <v>0</v>
      </c>
      <c r="S180" s="587">
        <f t="shared" si="16"/>
        <v>0</v>
      </c>
    </row>
    <row r="181" spans="1:19" x14ac:dyDescent="0.35">
      <c r="A181" s="1039"/>
      <c r="B181" s="179"/>
      <c r="C181" s="577"/>
      <c r="D181" s="928" t="str">
        <f>IFERROR((VLOOKUP(B181,'Spend mapping'!$A$11:$C$123,3,0)),"")</f>
        <v/>
      </c>
      <c r="E181" s="168"/>
      <c r="F181" s="168"/>
      <c r="G181" s="577"/>
      <c r="H181" s="577"/>
      <c r="I181" s="577"/>
      <c r="J181" s="579"/>
      <c r="K181" s="168"/>
      <c r="L181" s="168"/>
      <c r="M181" s="168"/>
      <c r="N181" s="168"/>
      <c r="O181" s="168"/>
      <c r="P181" s="313"/>
      <c r="Q181" s="1220">
        <f t="shared" si="15"/>
        <v>0</v>
      </c>
      <c r="R181" s="501">
        <f t="shared" si="17"/>
        <v>0</v>
      </c>
      <c r="S181" s="587">
        <f t="shared" si="16"/>
        <v>0</v>
      </c>
    </row>
    <row r="182" spans="1:19" x14ac:dyDescent="0.35">
      <c r="A182" s="1039"/>
      <c r="B182" s="179"/>
      <c r="C182" s="577"/>
      <c r="D182" s="928" t="str">
        <f>IFERROR((VLOOKUP(B182,'Spend mapping'!$A$11:$C$123,3,0)),"")</f>
        <v/>
      </c>
      <c r="E182" s="168"/>
      <c r="F182" s="168"/>
      <c r="G182" s="577"/>
      <c r="H182" s="577"/>
      <c r="I182" s="577"/>
      <c r="J182" s="579"/>
      <c r="K182" s="168"/>
      <c r="L182" s="168"/>
      <c r="M182" s="168"/>
      <c r="N182" s="168"/>
      <c r="O182" s="168"/>
      <c r="P182" s="313"/>
      <c r="Q182" s="1220">
        <f t="shared" si="15"/>
        <v>0</v>
      </c>
      <c r="R182" s="501">
        <f t="shared" si="17"/>
        <v>0</v>
      </c>
      <c r="S182" s="587">
        <f t="shared" si="16"/>
        <v>0</v>
      </c>
    </row>
    <row r="183" spans="1:19" x14ac:dyDescent="0.35">
      <c r="A183" s="1039"/>
      <c r="B183" s="179"/>
      <c r="C183" s="577"/>
      <c r="D183" s="928" t="str">
        <f>IFERROR((VLOOKUP(B183,'Spend mapping'!$A$11:$C$123,3,0)),"")</f>
        <v/>
      </c>
      <c r="E183" s="168"/>
      <c r="F183" s="168"/>
      <c r="G183" s="577"/>
      <c r="H183" s="577"/>
      <c r="I183" s="577"/>
      <c r="J183" s="579"/>
      <c r="K183" s="168"/>
      <c r="L183" s="168"/>
      <c r="M183" s="168"/>
      <c r="N183" s="168"/>
      <c r="O183" s="168"/>
      <c r="P183" s="313"/>
      <c r="Q183" s="1220">
        <f t="shared" si="15"/>
        <v>0</v>
      </c>
      <c r="R183" s="501">
        <f t="shared" si="17"/>
        <v>0</v>
      </c>
      <c r="S183" s="587">
        <f t="shared" si="16"/>
        <v>0</v>
      </c>
    </row>
    <row r="184" spans="1:19" x14ac:dyDescent="0.35">
      <c r="A184" s="1039"/>
      <c r="B184" s="179"/>
      <c r="C184" s="577"/>
      <c r="D184" s="928" t="str">
        <f>IFERROR((VLOOKUP(B184,'Spend mapping'!$A$11:$C$123,3,0)),"")</f>
        <v/>
      </c>
      <c r="E184" s="168"/>
      <c r="F184" s="168"/>
      <c r="G184" s="577"/>
      <c r="H184" s="577"/>
      <c r="I184" s="577"/>
      <c r="J184" s="579"/>
      <c r="K184" s="168"/>
      <c r="L184" s="168"/>
      <c r="M184" s="168"/>
      <c r="N184" s="168"/>
      <c r="O184" s="168"/>
      <c r="P184" s="313"/>
      <c r="Q184" s="1220">
        <f t="shared" si="15"/>
        <v>0</v>
      </c>
      <c r="R184" s="501">
        <f t="shared" si="17"/>
        <v>0</v>
      </c>
      <c r="S184" s="587">
        <f t="shared" si="16"/>
        <v>0</v>
      </c>
    </row>
    <row r="185" spans="1:19" x14ac:dyDescent="0.35">
      <c r="A185" s="1039"/>
      <c r="B185" s="179"/>
      <c r="C185" s="577"/>
      <c r="D185" s="928" t="str">
        <f>IFERROR((VLOOKUP(B185,'Spend mapping'!$A$11:$C$123,3,0)),"")</f>
        <v/>
      </c>
      <c r="E185" s="168"/>
      <c r="F185" s="168"/>
      <c r="G185" s="577"/>
      <c r="H185" s="577"/>
      <c r="I185" s="577"/>
      <c r="J185" s="579"/>
      <c r="K185" s="168"/>
      <c r="L185" s="168"/>
      <c r="M185" s="168"/>
      <c r="N185" s="168"/>
      <c r="O185" s="168"/>
      <c r="P185" s="313"/>
      <c r="Q185" s="1220">
        <f t="shared" si="15"/>
        <v>0</v>
      </c>
      <c r="R185" s="501">
        <f t="shared" si="17"/>
        <v>0</v>
      </c>
      <c r="S185" s="587">
        <f t="shared" si="16"/>
        <v>0</v>
      </c>
    </row>
    <row r="186" spans="1:19" x14ac:dyDescent="0.35">
      <c r="A186" s="1039"/>
      <c r="B186" s="179"/>
      <c r="C186" s="577"/>
      <c r="D186" s="928" t="str">
        <f>IFERROR((VLOOKUP(B186,'Spend mapping'!$A$11:$C$123,3,0)),"")</f>
        <v/>
      </c>
      <c r="E186" s="168"/>
      <c r="F186" s="168"/>
      <c r="G186" s="577"/>
      <c r="H186" s="577"/>
      <c r="I186" s="577"/>
      <c r="J186" s="579"/>
      <c r="K186" s="168"/>
      <c r="L186" s="168"/>
      <c r="M186" s="168"/>
      <c r="N186" s="168"/>
      <c r="O186" s="168"/>
      <c r="P186" s="313"/>
      <c r="Q186" s="1220">
        <f t="shared" si="15"/>
        <v>0</v>
      </c>
      <c r="R186" s="501">
        <f t="shared" si="17"/>
        <v>0</v>
      </c>
      <c r="S186" s="587">
        <f t="shared" si="16"/>
        <v>0</v>
      </c>
    </row>
    <row r="187" spans="1:19" x14ac:dyDescent="0.35">
      <c r="A187" s="1039"/>
      <c r="B187" s="179"/>
      <c r="C187" s="577"/>
      <c r="D187" s="928" t="str">
        <f>IFERROR((VLOOKUP(B187,'Spend mapping'!$A$11:$C$123,3,0)),"")</f>
        <v/>
      </c>
      <c r="E187" s="168"/>
      <c r="F187" s="168"/>
      <c r="G187" s="577"/>
      <c r="H187" s="577"/>
      <c r="I187" s="577"/>
      <c r="J187" s="579"/>
      <c r="K187" s="168"/>
      <c r="L187" s="168"/>
      <c r="M187" s="168"/>
      <c r="N187" s="168"/>
      <c r="O187" s="168"/>
      <c r="P187" s="313"/>
      <c r="Q187" s="1220">
        <f t="shared" si="15"/>
        <v>0</v>
      </c>
      <c r="R187" s="501">
        <f t="shared" si="17"/>
        <v>0</v>
      </c>
      <c r="S187" s="587">
        <f t="shared" si="16"/>
        <v>0</v>
      </c>
    </row>
    <row r="188" spans="1:19" x14ac:dyDescent="0.35">
      <c r="A188" s="1039"/>
      <c r="B188" s="179"/>
      <c r="C188" s="577"/>
      <c r="D188" s="928" t="str">
        <f>IFERROR((VLOOKUP(B188,'Spend mapping'!$A$11:$C$123,3,0)),"")</f>
        <v/>
      </c>
      <c r="E188" s="168"/>
      <c r="F188" s="168"/>
      <c r="G188" s="577"/>
      <c r="H188" s="577"/>
      <c r="I188" s="577"/>
      <c r="J188" s="579"/>
      <c r="K188" s="168"/>
      <c r="L188" s="168"/>
      <c r="M188" s="168"/>
      <c r="N188" s="168"/>
      <c r="O188" s="168"/>
      <c r="P188" s="313"/>
      <c r="Q188" s="1220">
        <f t="shared" si="15"/>
        <v>0</v>
      </c>
      <c r="R188" s="501">
        <f t="shared" si="17"/>
        <v>0</v>
      </c>
      <c r="S188" s="587">
        <f t="shared" si="16"/>
        <v>0</v>
      </c>
    </row>
    <row r="189" spans="1:19" x14ac:dyDescent="0.35">
      <c r="A189" s="1039"/>
      <c r="B189" s="179"/>
      <c r="C189" s="577"/>
      <c r="D189" s="928" t="str">
        <f>IFERROR((VLOOKUP(B189,'Spend mapping'!$A$11:$C$123,3,0)),"")</f>
        <v/>
      </c>
      <c r="E189" s="168"/>
      <c r="F189" s="168"/>
      <c r="G189" s="577"/>
      <c r="H189" s="577"/>
      <c r="I189" s="577"/>
      <c r="J189" s="579"/>
      <c r="K189" s="168"/>
      <c r="L189" s="168"/>
      <c r="M189" s="168"/>
      <c r="N189" s="168"/>
      <c r="O189" s="168"/>
      <c r="P189" s="313"/>
      <c r="Q189" s="1220">
        <f t="shared" si="15"/>
        <v>0</v>
      </c>
      <c r="R189" s="501">
        <f t="shared" si="17"/>
        <v>0</v>
      </c>
      <c r="S189" s="587">
        <f t="shared" si="16"/>
        <v>0</v>
      </c>
    </row>
    <row r="190" spans="1:19" x14ac:dyDescent="0.35">
      <c r="A190" s="1039"/>
      <c r="B190" s="179"/>
      <c r="C190" s="577"/>
      <c r="D190" s="928" t="str">
        <f>IFERROR((VLOOKUP(B190,'Spend mapping'!$A$11:$C$123,3,0)),"")</f>
        <v/>
      </c>
      <c r="E190" s="168"/>
      <c r="F190" s="168"/>
      <c r="G190" s="577"/>
      <c r="H190" s="577"/>
      <c r="I190" s="577"/>
      <c r="J190" s="579"/>
      <c r="K190" s="168"/>
      <c r="L190" s="168"/>
      <c r="M190" s="168"/>
      <c r="N190" s="168"/>
      <c r="O190" s="168"/>
      <c r="P190" s="313"/>
      <c r="Q190" s="1220">
        <f t="shared" si="15"/>
        <v>0</v>
      </c>
      <c r="R190" s="501">
        <f t="shared" si="17"/>
        <v>0</v>
      </c>
      <c r="S190" s="587">
        <f t="shared" si="16"/>
        <v>0</v>
      </c>
    </row>
    <row r="191" spans="1:19" x14ac:dyDescent="0.35">
      <c r="A191" s="1039"/>
      <c r="B191" s="179"/>
      <c r="C191" s="577"/>
      <c r="D191" s="928" t="str">
        <f>IFERROR((VLOOKUP(B191,'Spend mapping'!$A$11:$C$123,3,0)),"")</f>
        <v/>
      </c>
      <c r="E191" s="168"/>
      <c r="F191" s="168"/>
      <c r="G191" s="577"/>
      <c r="H191" s="577"/>
      <c r="I191" s="577"/>
      <c r="J191" s="579"/>
      <c r="K191" s="168"/>
      <c r="L191" s="168"/>
      <c r="M191" s="168"/>
      <c r="N191" s="168"/>
      <c r="O191" s="168"/>
      <c r="P191" s="313"/>
      <c r="Q191" s="1220">
        <f t="shared" si="15"/>
        <v>0</v>
      </c>
      <c r="R191" s="501">
        <f t="shared" si="17"/>
        <v>0</v>
      </c>
      <c r="S191" s="587">
        <f t="shared" si="16"/>
        <v>0</v>
      </c>
    </row>
    <row r="192" spans="1:19" x14ac:dyDescent="0.35">
      <c r="A192" s="1039"/>
      <c r="B192" s="179"/>
      <c r="C192" s="577"/>
      <c r="D192" s="928" t="str">
        <f>IFERROR((VLOOKUP(B192,'Spend mapping'!$A$11:$C$123,3,0)),"")</f>
        <v/>
      </c>
      <c r="E192" s="168"/>
      <c r="F192" s="168"/>
      <c r="G192" s="577"/>
      <c r="H192" s="577"/>
      <c r="I192" s="577"/>
      <c r="J192" s="579"/>
      <c r="K192" s="168"/>
      <c r="L192" s="168"/>
      <c r="M192" s="168"/>
      <c r="N192" s="168"/>
      <c r="O192" s="168"/>
      <c r="P192" s="313"/>
      <c r="Q192" s="1220">
        <f t="shared" si="15"/>
        <v>0</v>
      </c>
      <c r="R192" s="501">
        <f t="shared" si="17"/>
        <v>0</v>
      </c>
      <c r="S192" s="587">
        <f t="shared" si="16"/>
        <v>0</v>
      </c>
    </row>
    <row r="193" spans="1:19" x14ac:dyDescent="0.35">
      <c r="A193" s="1039"/>
      <c r="B193" s="179"/>
      <c r="C193" s="577"/>
      <c r="D193" s="928" t="str">
        <f>IFERROR((VLOOKUP(B193,'Spend mapping'!$A$11:$C$123,3,0)),"")</f>
        <v/>
      </c>
      <c r="E193" s="168"/>
      <c r="F193" s="168"/>
      <c r="G193" s="577"/>
      <c r="H193" s="577"/>
      <c r="I193" s="577"/>
      <c r="J193" s="579"/>
      <c r="K193" s="168"/>
      <c r="L193" s="168"/>
      <c r="M193" s="168"/>
      <c r="N193" s="168"/>
      <c r="O193" s="168"/>
      <c r="P193" s="313"/>
      <c r="Q193" s="1220">
        <f t="shared" si="15"/>
        <v>0</v>
      </c>
      <c r="R193" s="501">
        <f t="shared" si="17"/>
        <v>0</v>
      </c>
      <c r="S193" s="587">
        <f t="shared" si="16"/>
        <v>0</v>
      </c>
    </row>
    <row r="194" spans="1:19" x14ac:dyDescent="0.35">
      <c r="A194" s="1039"/>
      <c r="B194" s="179"/>
      <c r="C194" s="577"/>
      <c r="D194" s="928" t="str">
        <f>IFERROR((VLOOKUP(B194,'Spend mapping'!$A$11:$C$123,3,0)),"")</f>
        <v/>
      </c>
      <c r="E194" s="168"/>
      <c r="F194" s="168"/>
      <c r="G194" s="577"/>
      <c r="H194" s="577"/>
      <c r="I194" s="577"/>
      <c r="J194" s="579"/>
      <c r="K194" s="168"/>
      <c r="L194" s="168"/>
      <c r="M194" s="168"/>
      <c r="N194" s="168"/>
      <c r="O194" s="168"/>
      <c r="P194" s="313"/>
      <c r="Q194" s="1220">
        <f t="shared" si="15"/>
        <v>0</v>
      </c>
      <c r="R194" s="501">
        <f t="shared" si="17"/>
        <v>0</v>
      </c>
      <c r="S194" s="587">
        <f t="shared" si="16"/>
        <v>0</v>
      </c>
    </row>
    <row r="195" spans="1:19" x14ac:dyDescent="0.35">
      <c r="A195" s="1039"/>
      <c r="B195" s="179"/>
      <c r="C195" s="577"/>
      <c r="D195" s="928" t="str">
        <f>IFERROR((VLOOKUP(B195,'Spend mapping'!$A$11:$C$123,3,0)),"")</f>
        <v/>
      </c>
      <c r="E195" s="168"/>
      <c r="F195" s="168"/>
      <c r="G195" s="577"/>
      <c r="H195" s="577"/>
      <c r="I195" s="577"/>
      <c r="J195" s="579"/>
      <c r="K195" s="168"/>
      <c r="L195" s="168"/>
      <c r="M195" s="168"/>
      <c r="N195" s="168"/>
      <c r="O195" s="168"/>
      <c r="P195" s="313"/>
      <c r="Q195" s="1220">
        <f t="shared" si="15"/>
        <v>0</v>
      </c>
      <c r="R195" s="501">
        <f t="shared" si="17"/>
        <v>0</v>
      </c>
      <c r="S195" s="587">
        <f t="shared" si="16"/>
        <v>0</v>
      </c>
    </row>
    <row r="196" spans="1:19" x14ac:dyDescent="0.35">
      <c r="A196" s="1039"/>
      <c r="B196" s="179"/>
      <c r="C196" s="577"/>
      <c r="D196" s="928" t="str">
        <f>IFERROR((VLOOKUP(B196,'Spend mapping'!$A$11:$C$123,3,0)),"")</f>
        <v/>
      </c>
      <c r="E196" s="168"/>
      <c r="F196" s="168"/>
      <c r="G196" s="577"/>
      <c r="H196" s="577"/>
      <c r="I196" s="577"/>
      <c r="J196" s="579"/>
      <c r="K196" s="168"/>
      <c r="L196" s="168"/>
      <c r="M196" s="168"/>
      <c r="N196" s="168"/>
      <c r="O196" s="168"/>
      <c r="P196" s="313"/>
      <c r="Q196" s="1220">
        <f t="shared" si="15"/>
        <v>0</v>
      </c>
      <c r="R196" s="501">
        <f t="shared" si="17"/>
        <v>0</v>
      </c>
      <c r="S196" s="587">
        <f t="shared" si="16"/>
        <v>0</v>
      </c>
    </row>
    <row r="197" spans="1:19" x14ac:dyDescent="0.35">
      <c r="A197" s="1039"/>
      <c r="B197" s="179"/>
      <c r="C197" s="577"/>
      <c r="D197" s="928" t="str">
        <f>IFERROR((VLOOKUP(B197,'Spend mapping'!$A$11:$C$123,3,0)),"")</f>
        <v/>
      </c>
      <c r="E197" s="168"/>
      <c r="F197" s="168"/>
      <c r="G197" s="577"/>
      <c r="H197" s="577"/>
      <c r="I197" s="577"/>
      <c r="J197" s="579"/>
      <c r="K197" s="168"/>
      <c r="L197" s="168"/>
      <c r="M197" s="168"/>
      <c r="N197" s="168"/>
      <c r="O197" s="168"/>
      <c r="P197" s="313"/>
      <c r="Q197" s="1220">
        <f t="shared" si="15"/>
        <v>0</v>
      </c>
      <c r="R197" s="501">
        <f t="shared" si="17"/>
        <v>0</v>
      </c>
      <c r="S197" s="587">
        <f t="shared" si="16"/>
        <v>0</v>
      </c>
    </row>
    <row r="198" spans="1:19" x14ac:dyDescent="0.35">
      <c r="A198" s="1039"/>
      <c r="B198" s="179"/>
      <c r="C198" s="577"/>
      <c r="D198" s="928" t="str">
        <f>IFERROR((VLOOKUP(B198,'Spend mapping'!$A$11:$C$123,3,0)),"")</f>
        <v/>
      </c>
      <c r="E198" s="168"/>
      <c r="F198" s="168"/>
      <c r="G198" s="577"/>
      <c r="H198" s="577"/>
      <c r="I198" s="577"/>
      <c r="J198" s="579"/>
      <c r="K198" s="168"/>
      <c r="L198" s="168"/>
      <c r="M198" s="168"/>
      <c r="N198" s="168"/>
      <c r="O198" s="168"/>
      <c r="P198" s="313"/>
      <c r="Q198" s="1220">
        <f t="shared" si="15"/>
        <v>0</v>
      </c>
      <c r="R198" s="501">
        <f t="shared" si="17"/>
        <v>0</v>
      </c>
      <c r="S198" s="587">
        <f t="shared" si="16"/>
        <v>0</v>
      </c>
    </row>
    <row r="199" spans="1:19" x14ac:dyDescent="0.35">
      <c r="A199" s="1039"/>
      <c r="B199" s="179"/>
      <c r="C199" s="577"/>
      <c r="D199" s="928" t="str">
        <f>IFERROR((VLOOKUP(B199,'Spend mapping'!$A$11:$C$123,3,0)),"")</f>
        <v/>
      </c>
      <c r="E199" s="168"/>
      <c r="F199" s="168"/>
      <c r="G199" s="577"/>
      <c r="H199" s="577"/>
      <c r="I199" s="577"/>
      <c r="J199" s="579"/>
      <c r="K199" s="168"/>
      <c r="L199" s="168"/>
      <c r="M199" s="168"/>
      <c r="N199" s="168"/>
      <c r="O199" s="168"/>
      <c r="P199" s="313"/>
      <c r="Q199" s="1220">
        <f t="shared" si="15"/>
        <v>0</v>
      </c>
      <c r="R199" s="501">
        <f t="shared" si="17"/>
        <v>0</v>
      </c>
      <c r="S199" s="587">
        <f t="shared" si="16"/>
        <v>0</v>
      </c>
    </row>
    <row r="200" spans="1:19" x14ac:dyDescent="0.35">
      <c r="A200" s="1039"/>
      <c r="B200" s="179"/>
      <c r="C200" s="577"/>
      <c r="D200" s="928" t="str">
        <f>IFERROR((VLOOKUP(B200,'Spend mapping'!$A$11:$C$123,3,0)),"")</f>
        <v/>
      </c>
      <c r="E200" s="168"/>
      <c r="F200" s="168"/>
      <c r="G200" s="577"/>
      <c r="H200" s="577"/>
      <c r="I200" s="577"/>
      <c r="J200" s="579"/>
      <c r="K200" s="168"/>
      <c r="L200" s="168"/>
      <c r="M200" s="168"/>
      <c r="N200" s="168"/>
      <c r="O200" s="168"/>
      <c r="P200" s="313"/>
      <c r="Q200" s="1220">
        <f t="shared" si="15"/>
        <v>0</v>
      </c>
      <c r="R200" s="501">
        <f t="shared" si="17"/>
        <v>0</v>
      </c>
      <c r="S200" s="587">
        <f t="shared" si="16"/>
        <v>0</v>
      </c>
    </row>
    <row r="201" spans="1:19" x14ac:dyDescent="0.35">
      <c r="A201" s="1039"/>
      <c r="B201" s="179"/>
      <c r="C201" s="577"/>
      <c r="D201" s="928" t="str">
        <f>IFERROR((VLOOKUP(B201,'Spend mapping'!$A$11:$C$123,3,0)),"")</f>
        <v/>
      </c>
      <c r="E201" s="168"/>
      <c r="F201" s="168"/>
      <c r="G201" s="577"/>
      <c r="H201" s="577"/>
      <c r="I201" s="577"/>
      <c r="J201" s="579"/>
      <c r="K201" s="168"/>
      <c r="L201" s="168"/>
      <c r="M201" s="168"/>
      <c r="N201" s="168"/>
      <c r="O201" s="168"/>
      <c r="P201" s="313"/>
      <c r="Q201" s="1220">
        <f t="shared" si="15"/>
        <v>0</v>
      </c>
      <c r="R201" s="501">
        <f t="shared" si="17"/>
        <v>0</v>
      </c>
      <c r="S201" s="587">
        <f t="shared" si="16"/>
        <v>0</v>
      </c>
    </row>
    <row r="202" spans="1:19" x14ac:dyDescent="0.35">
      <c r="A202" s="1039"/>
      <c r="B202" s="179"/>
      <c r="C202" s="577"/>
      <c r="D202" s="928" t="str">
        <f>IFERROR((VLOOKUP(B202,'Spend mapping'!$A$11:$C$123,3,0)),"")</f>
        <v/>
      </c>
      <c r="E202" s="168"/>
      <c r="F202" s="168"/>
      <c r="G202" s="577"/>
      <c r="H202" s="577"/>
      <c r="I202" s="577"/>
      <c r="J202" s="579"/>
      <c r="K202" s="168"/>
      <c r="L202" s="168"/>
      <c r="M202" s="168"/>
      <c r="N202" s="168"/>
      <c r="O202" s="168"/>
      <c r="P202" s="313"/>
      <c r="Q202" s="1220">
        <f t="shared" si="15"/>
        <v>0</v>
      </c>
      <c r="R202" s="501">
        <f t="shared" si="17"/>
        <v>0</v>
      </c>
      <c r="S202" s="587">
        <f t="shared" si="16"/>
        <v>0</v>
      </c>
    </row>
    <row r="203" spans="1:19" x14ac:dyDescent="0.35">
      <c r="A203" s="1039"/>
      <c r="B203" s="179"/>
      <c r="C203" s="577"/>
      <c r="D203" s="928" t="str">
        <f>IFERROR((VLOOKUP(B203,'Spend mapping'!$A$11:$C$123,3,0)),"")</f>
        <v/>
      </c>
      <c r="E203" s="168"/>
      <c r="F203" s="168"/>
      <c r="G203" s="577"/>
      <c r="H203" s="577"/>
      <c r="I203" s="577"/>
      <c r="J203" s="579"/>
      <c r="K203" s="168"/>
      <c r="L203" s="168"/>
      <c r="M203" s="168"/>
      <c r="N203" s="168"/>
      <c r="O203" s="168"/>
      <c r="P203" s="313"/>
      <c r="Q203" s="1220">
        <f t="shared" si="15"/>
        <v>0</v>
      </c>
      <c r="R203" s="501">
        <f t="shared" si="17"/>
        <v>0</v>
      </c>
      <c r="S203" s="587">
        <f t="shared" si="16"/>
        <v>0</v>
      </c>
    </row>
    <row r="204" spans="1:19" x14ac:dyDescent="0.35">
      <c r="A204" s="1039"/>
      <c r="B204" s="179"/>
      <c r="C204" s="577"/>
      <c r="D204" s="928" t="str">
        <f>IFERROR((VLOOKUP(B204,'Spend mapping'!$A$11:$C$123,3,0)),"")</f>
        <v/>
      </c>
      <c r="E204" s="168"/>
      <c r="F204" s="168"/>
      <c r="G204" s="577"/>
      <c r="H204" s="577"/>
      <c r="I204" s="577"/>
      <c r="J204" s="579"/>
      <c r="K204" s="168"/>
      <c r="L204" s="168"/>
      <c r="M204" s="168"/>
      <c r="N204" s="168"/>
      <c r="O204" s="168"/>
      <c r="P204" s="313"/>
      <c r="Q204" s="1220">
        <f t="shared" si="15"/>
        <v>0</v>
      </c>
      <c r="R204" s="501">
        <f t="shared" si="17"/>
        <v>0</v>
      </c>
      <c r="S204" s="587">
        <f t="shared" si="16"/>
        <v>0</v>
      </c>
    </row>
    <row r="205" spans="1:19" ht="15" thickBot="1" x14ac:dyDescent="0.4">
      <c r="A205" s="1040"/>
      <c r="B205" s="180"/>
      <c r="C205" s="575"/>
      <c r="D205" s="995" t="str">
        <f>IFERROR((VLOOKUP(B205,'Spend mapping'!$A$11:$C$123,3,0)),"")</f>
        <v/>
      </c>
      <c r="E205" s="187"/>
      <c r="F205" s="187"/>
      <c r="G205" s="575"/>
      <c r="H205" s="575"/>
      <c r="I205" s="575"/>
      <c r="J205" s="580"/>
      <c r="K205" s="187"/>
      <c r="L205" s="187"/>
      <c r="M205" s="187"/>
      <c r="N205" s="187"/>
      <c r="O205" s="187"/>
      <c r="P205" s="315"/>
      <c r="Q205" s="1221">
        <f t="shared" si="15"/>
        <v>0</v>
      </c>
      <c r="R205" s="502">
        <f t="shared" si="17"/>
        <v>0</v>
      </c>
      <c r="S205" s="588">
        <f t="shared" si="16"/>
        <v>0</v>
      </c>
    </row>
  </sheetData>
  <sheetProtection algorithmName="SHA-512" hashValue="SEigE2eOeh5kAp5o5ScWacOYKOoQbpBdnq97Wru3PlfS5Rs1edCIbJU7D/QtA4VxyEBhvJ//uhYLQMKAStv1AQ==" saltValue="fbiMTgjUpl+wu83K9Lnjxg==" spinCount="100000" sheet="1" autoFilter="0"/>
  <protectedRanges>
    <protectedRange sqref="A13:C205 E13:P205" name="Range1"/>
  </protectedRanges>
  <mergeCells count="2">
    <mergeCell ref="A1:E1"/>
    <mergeCell ref="V11:W11"/>
  </mergeCells>
  <conditionalFormatting sqref="B13:B205">
    <cfRule type="expression" dxfId="21" priority="12">
      <formula>C13&gt;0</formula>
    </cfRule>
  </conditionalFormatting>
  <conditionalFormatting sqref="E13:F205">
    <cfRule type="expression" dxfId="20" priority="10">
      <formula>C13&gt;0</formula>
    </cfRule>
  </conditionalFormatting>
  <conditionalFormatting sqref="G13:H205">
    <cfRule type="expression" dxfId="19" priority="9">
      <formula>C13&gt;0</formula>
    </cfRule>
  </conditionalFormatting>
  <conditionalFormatting sqref="I13:I205">
    <cfRule type="expression" dxfId="18" priority="8">
      <formula>C13&gt;0</formula>
    </cfRule>
  </conditionalFormatting>
  <conditionalFormatting sqref="J13:J205">
    <cfRule type="expression" dxfId="17" priority="7">
      <formula>C13&gt;0</formula>
    </cfRule>
  </conditionalFormatting>
  <conditionalFormatting sqref="K13:K205">
    <cfRule type="expression" dxfId="16" priority="6">
      <formula>C13&gt;0</formula>
    </cfRule>
  </conditionalFormatting>
  <conditionalFormatting sqref="L13:L205">
    <cfRule type="expression" dxfId="15" priority="5">
      <formula>C13&gt;0</formula>
    </cfRule>
  </conditionalFormatting>
  <conditionalFormatting sqref="M13:M205">
    <cfRule type="expression" dxfId="14" priority="4">
      <formula>C13&gt;0</formula>
    </cfRule>
  </conditionalFormatting>
  <conditionalFormatting sqref="N13:N205">
    <cfRule type="expression" dxfId="13" priority="3">
      <formula>C13&gt;0</formula>
    </cfRule>
  </conditionalFormatting>
  <conditionalFormatting sqref="O13:O205">
    <cfRule type="expression" dxfId="12" priority="2">
      <formula>C13&gt;0</formula>
    </cfRule>
  </conditionalFormatting>
  <conditionalFormatting sqref="P13:P205">
    <cfRule type="expression" dxfId="11" priority="1">
      <formula>C13&gt;0</formula>
    </cfRule>
  </conditionalFormatting>
  <dataValidations count="6">
    <dataValidation type="list" allowBlank="1" showInputMessage="1" showErrorMessage="1" sqref="M13:N205" xr:uid="{ABCA54EC-3570-4B12-A718-E2FB30D2B2C9}">
      <formula1>$V$13:$V$14</formula1>
    </dataValidation>
    <dataValidation type="whole" allowBlank="1" showInputMessage="1" showErrorMessage="1" errorTitle="Enter full year" error="Enter full year in format XXXX" sqref="O13:P205" xr:uid="{6CF79C46-5416-45F6-9745-A366C92C6EF7}">
      <formula1>2000</formula1>
      <formula2>2080</formula2>
    </dataValidation>
    <dataValidation type="decimal" allowBlank="1" showInputMessage="1" showErrorMessage="1" errorTitle="Data in $1000's" error="Enter data in $1000's. As It is unlikely that you will spend more than $50m with one supplier, limits have been set on these cells. If you need to enter more than $50m contact AKDN to remove the data entry restriction." sqref="C13:C205" xr:uid="{36953D4C-D8CC-48C2-BEAA-387F78B590C4}">
      <formula1>0</formula1>
      <formula2>50000</formula2>
    </dataValidation>
    <dataValidation type="decimal" allowBlank="1" showInputMessage="1" showErrorMessage="1" errorTitle="Figure too high" error="Any one suppliers carbon intesnity is very unlikley to exceed 30kg/$ annual revenue. Most will have a Scope 1+2 intensity of 0.00001-0.1 and Scope 1,2 and 3 intensity of 0.1-10." sqref="E13:E205 G13:G205" xr:uid="{169C45EC-8EA6-4D66-B531-2762A63FF331}">
      <formula1>0</formula1>
      <formula2>30</formula2>
    </dataValidation>
    <dataValidation type="whole" allowBlank="1" showInputMessage="1" showErrorMessage="1" errorTitle="Enter full year" error="Enter full year in format XXXX" sqref="I13:I205" xr:uid="{F5FFF5F7-4FA0-43DF-AF7F-39CC2DFE37A8}">
      <formula1>2000</formula1>
      <formula2>3000</formula2>
    </dataValidation>
    <dataValidation type="list" allowBlank="1" showInputMessage="1" showErrorMessage="1" sqref="F13:F205 H13:H205" xr:uid="{28072F6A-0CC8-4047-906E-15B44797D2DF}">
      <formula1>$W$13:$W$15</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AD58BB7-24EF-45F8-9A5C-D81191632671}">
          <x14:formula1>
            <xm:f>'Spend mapping'!$A$11:$A$123</xm:f>
          </x14:formula1>
          <xm:sqref>B13:B205</xm:sqref>
        </x14:dataValidation>
        <x14:dataValidation type="list" allowBlank="1" showInputMessage="1" showErrorMessage="1" xr:uid="{5D14290E-81E6-4703-8575-701B75DCC825}">
          <x14:formula1>
            <xm:f>'Procurement properties_T1'!$A$31:$A$227</xm:f>
          </x14:formula1>
          <xm:sqref>L13:L205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5CD46-382D-40C5-805D-D5B78394635D}">
  <sheetPr>
    <tabColor rgb="FF00B050"/>
  </sheetPr>
  <dimension ref="A1:K336"/>
  <sheetViews>
    <sheetView zoomScale="70" zoomScaleNormal="70" workbookViewId="0">
      <selection activeCell="B12" sqref="B12"/>
    </sheetView>
  </sheetViews>
  <sheetFormatPr defaultColWidth="8.81640625" defaultRowHeight="14.5" x14ac:dyDescent="0.35"/>
  <cols>
    <col min="1" max="1" width="47.453125" bestFit="1" customWidth="1"/>
    <col min="2" max="3" width="29.26953125" customWidth="1"/>
    <col min="5" max="5" width="59.81640625" customWidth="1"/>
    <col min="6" max="6" width="23.453125" customWidth="1"/>
    <col min="7" max="7" width="42.26953125" bestFit="1" customWidth="1"/>
    <col min="8" max="8" width="39.453125" customWidth="1"/>
    <col min="9" max="9" width="40.7265625" bestFit="1" customWidth="1"/>
    <col min="10" max="10" width="34.26953125" customWidth="1"/>
    <col min="11" max="11" width="34.7265625" customWidth="1"/>
  </cols>
  <sheetData>
    <row r="1" spans="1:11" ht="15.75" customHeight="1" x14ac:dyDescent="0.35">
      <c r="A1" s="1954" t="s">
        <v>1255</v>
      </c>
      <c r="B1" s="1955"/>
      <c r="C1" s="1956"/>
      <c r="D1" s="950"/>
      <c r="E1" s="953" t="s">
        <v>1256</v>
      </c>
      <c r="F1" s="954" t="s">
        <v>1257</v>
      </c>
    </row>
    <row r="2" spans="1:11" ht="26.25" customHeight="1" x14ac:dyDescent="0.35">
      <c r="A2" s="1957"/>
      <c r="B2" s="1958"/>
      <c r="C2" s="1959"/>
      <c r="D2" s="950"/>
      <c r="E2" s="5" t="s">
        <v>1258</v>
      </c>
      <c r="F2" s="954" t="s">
        <v>1259</v>
      </c>
    </row>
    <row r="3" spans="1:11" ht="24.75" customHeight="1" x14ac:dyDescent="0.35">
      <c r="A3" s="1957"/>
      <c r="B3" s="1958"/>
      <c r="C3" s="1959"/>
      <c r="D3" s="950"/>
      <c r="E3" s="5" t="s">
        <v>1260</v>
      </c>
    </row>
    <row r="4" spans="1:11" ht="8.25" customHeight="1" thickBot="1" x14ac:dyDescent="0.4">
      <c r="A4" s="1957"/>
      <c r="B4" s="1958"/>
      <c r="C4" s="1959"/>
      <c r="D4" s="950"/>
      <c r="E4" s="950"/>
    </row>
    <row r="5" spans="1:11" ht="22.5" customHeight="1" x14ac:dyDescent="0.35">
      <c r="A5" s="1957"/>
      <c r="B5" s="1958"/>
      <c r="C5" s="1959"/>
      <c r="D5" s="950"/>
      <c r="E5" s="955" t="s">
        <v>1261</v>
      </c>
      <c r="F5" s="956">
        <v>1</v>
      </c>
    </row>
    <row r="6" spans="1:11" ht="25.5" customHeight="1" thickBot="1" x14ac:dyDescent="0.4">
      <c r="A6" s="1957" t="s">
        <v>1262</v>
      </c>
      <c r="B6" s="1958"/>
      <c r="C6" s="1959"/>
      <c r="D6" s="950"/>
      <c r="E6" s="957" t="s">
        <v>1263</v>
      </c>
      <c r="F6" s="1520">
        <f>'$ Conversion'!F11</f>
        <v>0.72</v>
      </c>
    </row>
    <row r="7" spans="1:11" ht="41.25" customHeight="1" x14ac:dyDescent="0.35">
      <c r="A7" s="1957"/>
      <c r="B7" s="1958"/>
      <c r="C7" s="1959"/>
      <c r="D7" s="950"/>
      <c r="E7" s="950"/>
    </row>
    <row r="8" spans="1:11" ht="60.75" customHeight="1" thickBot="1" x14ac:dyDescent="0.4">
      <c r="A8" s="1960"/>
      <c r="B8" s="1961"/>
      <c r="C8" s="1962"/>
      <c r="D8" s="950"/>
      <c r="E8" s="950"/>
    </row>
    <row r="9" spans="1:11" ht="15" thickBot="1" x14ac:dyDescent="0.4">
      <c r="A9" s="950"/>
      <c r="B9" s="958"/>
      <c r="C9" s="958"/>
      <c r="D9" s="950"/>
      <c r="E9" s="950"/>
    </row>
    <row r="10" spans="1:11" s="4" customFormat="1" ht="29.5" thickBot="1" x14ac:dyDescent="0.4">
      <c r="A10" s="1138" t="s">
        <v>1264</v>
      </c>
      <c r="B10" s="857" t="s">
        <v>1265</v>
      </c>
      <c r="C10" s="1139" t="s">
        <v>1266</v>
      </c>
      <c r="D10" s="954"/>
      <c r="E10" s="854" t="s">
        <v>1267</v>
      </c>
      <c r="F10" s="1141" t="s">
        <v>1268</v>
      </c>
      <c r="G10" s="854" t="s">
        <v>1269</v>
      </c>
      <c r="H10" s="855" t="s">
        <v>1270</v>
      </c>
      <c r="I10" s="855" t="s">
        <v>1271</v>
      </c>
      <c r="J10" s="855" t="s">
        <v>1272</v>
      </c>
      <c r="K10" s="860" t="s">
        <v>1273</v>
      </c>
    </row>
    <row r="11" spans="1:11" x14ac:dyDescent="0.35">
      <c r="A11" s="1158" t="s">
        <v>1274</v>
      </c>
      <c r="B11" s="1159" cm="1">
        <f t="array" ref="B11">IFERROR(AVERAGE(IF($G$11:$K$325=A11,$F$11:$F$325)),"")</f>
        <v>2.0803528443786199</v>
      </c>
      <c r="C11" s="1160">
        <f>IFERROR(B11*($F$6),"")</f>
        <v>1.4978540479526063</v>
      </c>
      <c r="D11" s="950"/>
      <c r="E11" s="254" t="s">
        <v>1275</v>
      </c>
      <c r="F11" s="1142">
        <v>0.15373162737233159</v>
      </c>
      <c r="G11" s="1145" t="s">
        <v>1276</v>
      </c>
      <c r="H11" s="574"/>
      <c r="I11" s="574"/>
      <c r="J11" s="574"/>
      <c r="K11" s="1146"/>
    </row>
    <row r="12" spans="1:11" x14ac:dyDescent="0.35">
      <c r="A12" s="1137" t="s">
        <v>1277</v>
      </c>
      <c r="B12" s="960" cm="1">
        <f t="array" ref="B12">IFERROR(AVERAGE(IF($G$11:$K$325=A12,$F$11:$F$325)),"")</f>
        <v>2.0753913517713825</v>
      </c>
      <c r="C12" s="961">
        <f>IFERROR(B12*($F$6),"")</f>
        <v>1.4942817732753952</v>
      </c>
      <c r="D12" s="950"/>
      <c r="E12" s="235" t="s">
        <v>1278</v>
      </c>
      <c r="F12" s="1143">
        <v>0.15373162737233159</v>
      </c>
      <c r="G12" s="1147" t="s">
        <v>1276</v>
      </c>
      <c r="H12" s="577"/>
      <c r="I12" s="577"/>
      <c r="J12" s="577"/>
      <c r="K12" s="1101"/>
    </row>
    <row r="13" spans="1:11" x14ac:dyDescent="0.35">
      <c r="A13" s="1137" t="s">
        <v>1279</v>
      </c>
      <c r="B13" s="960" cm="1">
        <f t="array" ref="B13">IFERROR(AVERAGE(IF($G$11:$K$325=A13,$F$11:$F$325)),"")</f>
        <v>0.91347641591354789</v>
      </c>
      <c r="C13" s="961">
        <f>IFERROR(B13*($F$6),"")</f>
        <v>0.65770301945775445</v>
      </c>
      <c r="D13" s="950"/>
      <c r="E13" s="235" t="s">
        <v>1280</v>
      </c>
      <c r="F13" s="1143">
        <v>0.15373162737233159</v>
      </c>
      <c r="G13" s="1147" t="s">
        <v>1276</v>
      </c>
      <c r="H13" s="577"/>
      <c r="I13" s="577"/>
      <c r="J13" s="577"/>
      <c r="K13" s="1101"/>
    </row>
    <row r="14" spans="1:11" x14ac:dyDescent="0.35">
      <c r="A14" s="1137" t="s">
        <v>1281</v>
      </c>
      <c r="B14" s="960" cm="1">
        <f t="array" ref="B14">IFERROR(AVERAGE(IF($G$11:$K$325=A14,$F$11:$F$325)),"")</f>
        <v>0.10708658207446045</v>
      </c>
      <c r="C14" s="961">
        <f t="shared" ref="C14:C77" si="0">IFERROR(B14*($F$6),"")</f>
        <v>7.7102339093611527E-2</v>
      </c>
      <c r="D14" s="950"/>
      <c r="E14" s="235" t="s">
        <v>1282</v>
      </c>
      <c r="F14" s="1143">
        <v>0.15373162737233159</v>
      </c>
      <c r="G14" s="1147" t="s">
        <v>1276</v>
      </c>
      <c r="H14" s="577"/>
      <c r="I14" s="577"/>
      <c r="J14" s="577"/>
      <c r="K14" s="1101"/>
    </row>
    <row r="15" spans="1:11" x14ac:dyDescent="0.35">
      <c r="A15" s="1137" t="s">
        <v>1283</v>
      </c>
      <c r="B15" s="960" cm="1">
        <f t="array" ref="B15">IFERROR(AVERAGE(IF($G$11:$K$325=A15,$F$11:$F$325)),"")</f>
        <v>2.0803528443786221</v>
      </c>
      <c r="C15" s="961">
        <f t="shared" si="0"/>
        <v>1.4978540479526079</v>
      </c>
      <c r="D15" s="950"/>
      <c r="E15" s="235" t="s">
        <v>1284</v>
      </c>
      <c r="F15" s="1143">
        <v>0.67617199636979775</v>
      </c>
      <c r="G15" s="1147" t="s">
        <v>1276</v>
      </c>
      <c r="H15" s="577"/>
      <c r="I15" s="577"/>
      <c r="J15" s="577"/>
      <c r="K15" s="1101"/>
    </row>
    <row r="16" spans="1:11" x14ac:dyDescent="0.35">
      <c r="A16" s="1137" t="s">
        <v>1285</v>
      </c>
      <c r="B16" s="960" cm="1">
        <f t="array" ref="B16">IFERROR(AVERAGE(IF($G$11:$K$325=A16,$F$11:$F$325)),"")</f>
        <v>0.75952509818431257</v>
      </c>
      <c r="C16" s="961">
        <f t="shared" si="0"/>
        <v>0.54685807069270498</v>
      </c>
      <c r="D16" s="950"/>
      <c r="E16" s="235" t="s">
        <v>1286</v>
      </c>
      <c r="F16" s="1143">
        <v>0.67617199636979797</v>
      </c>
      <c r="G16" s="1147" t="s">
        <v>1276</v>
      </c>
      <c r="H16" s="577"/>
      <c r="I16" s="577"/>
      <c r="J16" s="577"/>
      <c r="K16" s="1101"/>
    </row>
    <row r="17" spans="1:11" x14ac:dyDescent="0.35">
      <c r="A17" s="1137" t="s">
        <v>1287</v>
      </c>
      <c r="B17" s="960" cm="1">
        <f t="array" ref="B17">IFERROR(AVERAGE(IF($G$11:$K$325=A17,$F$11:$F$325)),"")</f>
        <v>0.40192705460367517</v>
      </c>
      <c r="C17" s="961">
        <f t="shared" si="0"/>
        <v>0.28938747931464609</v>
      </c>
      <c r="D17" s="950"/>
      <c r="E17" s="235" t="s">
        <v>1288</v>
      </c>
      <c r="F17" s="1143">
        <v>1.1342953161883209</v>
      </c>
      <c r="G17" s="1147" t="s">
        <v>1276</v>
      </c>
      <c r="H17" s="577"/>
      <c r="I17" s="577"/>
      <c r="J17" s="577"/>
      <c r="K17" s="1101"/>
    </row>
    <row r="18" spans="1:11" x14ac:dyDescent="0.35">
      <c r="A18" s="1137" t="s">
        <v>1289</v>
      </c>
      <c r="B18" s="960" cm="1">
        <f t="array" ref="B18">IFERROR(AVERAGE(IF($G$11:$K$325=A18,$F$11:$F$325)),"")</f>
        <v>0.22562676667950585</v>
      </c>
      <c r="C18" s="961">
        <f t="shared" si="0"/>
        <v>0.1624512720092442</v>
      </c>
      <c r="D18" s="950"/>
      <c r="E18" s="235" t="s">
        <v>1290</v>
      </c>
      <c r="F18" s="1143">
        <v>2.4712002549897272</v>
      </c>
      <c r="G18" s="1147" t="s">
        <v>1276</v>
      </c>
      <c r="H18" s="577"/>
      <c r="I18" s="577"/>
      <c r="J18" s="577"/>
      <c r="K18" s="1101"/>
    </row>
    <row r="19" spans="1:11" x14ac:dyDescent="0.35">
      <c r="A19" s="1137" t="s">
        <v>1291</v>
      </c>
      <c r="B19" s="960" cm="1">
        <f t="array" ref="B19">IFERROR(AVERAGE(IF($G$11:$K$325=A19,$F$11:$F$325)),"")</f>
        <v>0.75952509818431246</v>
      </c>
      <c r="C19" s="961">
        <f t="shared" si="0"/>
        <v>0.54685807069270498</v>
      </c>
      <c r="D19" s="950"/>
      <c r="E19" s="235" t="s">
        <v>1292</v>
      </c>
      <c r="F19" s="1143">
        <v>2.4712002549897258</v>
      </c>
      <c r="G19" s="1147" t="s">
        <v>1276</v>
      </c>
      <c r="H19" s="577"/>
      <c r="I19" s="577"/>
      <c r="J19" s="577"/>
      <c r="K19" s="1101"/>
    </row>
    <row r="20" spans="1:11" x14ac:dyDescent="0.35">
      <c r="A20" s="1137" t="s">
        <v>1293</v>
      </c>
      <c r="B20" s="960" cm="1">
        <f t="array" ref="B20">IFERROR(AVERAGE(IF($G$11:$K$325=A20,$F$11:$F$325)),"")</f>
        <v>0.83835161242540113</v>
      </c>
      <c r="C20" s="961">
        <f t="shared" si="0"/>
        <v>0.60361316094628881</v>
      </c>
      <c r="D20" s="950"/>
      <c r="E20" s="235" t="s">
        <v>1294</v>
      </c>
      <c r="F20" s="1143">
        <v>2.4712002549897258</v>
      </c>
      <c r="G20" s="1147" t="s">
        <v>1276</v>
      </c>
      <c r="H20" s="577"/>
      <c r="I20" s="577"/>
      <c r="J20" s="577"/>
      <c r="K20" s="1101"/>
    </row>
    <row r="21" spans="1:11" x14ac:dyDescent="0.35">
      <c r="A21" s="1434" t="s">
        <v>1295</v>
      </c>
      <c r="B21" s="960" cm="1">
        <f t="array" ref="B21">IFERROR(AVERAGE(IF($G$11:$K$325=A21,$F$11:$F$325)),"")</f>
        <v>0.37391705034447897</v>
      </c>
      <c r="C21" s="961">
        <f t="shared" si="0"/>
        <v>0.26922027624802486</v>
      </c>
      <c r="D21" s="950"/>
      <c r="E21" s="235" t="s">
        <v>1296</v>
      </c>
      <c r="F21" s="1143">
        <v>2.4712002549897258</v>
      </c>
      <c r="G21" s="1147" t="s">
        <v>1276</v>
      </c>
      <c r="H21" s="577"/>
      <c r="I21" s="577"/>
      <c r="J21" s="577"/>
      <c r="K21" s="1101"/>
    </row>
    <row r="22" spans="1:11" x14ac:dyDescent="0.35">
      <c r="A22" s="1137" t="s">
        <v>1297</v>
      </c>
      <c r="B22" s="960" cm="1">
        <f t="array" ref="B22">IFERROR(AVERAGE(IF($G$11:$K$325=A22,$F$11:$F$325)),"")</f>
        <v>2.2488068518775761</v>
      </c>
      <c r="C22" s="961">
        <f t="shared" si="0"/>
        <v>1.6191409333518547</v>
      </c>
      <c r="D22" s="950"/>
      <c r="E22" s="235" t="s">
        <v>1298</v>
      </c>
      <c r="F22" s="1143">
        <v>2.471200254989725</v>
      </c>
      <c r="G22" s="1147" t="s">
        <v>1276</v>
      </c>
      <c r="H22" s="577"/>
      <c r="I22" s="577"/>
      <c r="J22" s="577"/>
      <c r="K22" s="1101"/>
    </row>
    <row r="23" spans="1:11" x14ac:dyDescent="0.35">
      <c r="A23" s="1137" t="s">
        <v>1299</v>
      </c>
      <c r="B23" s="960" cm="1">
        <f t="array" ref="B23">IFERROR(AVERAGE(IF($G$11:$K$325=A23,$F$11:$F$325)),"")</f>
        <v>0.28911569882311011</v>
      </c>
      <c r="C23" s="961">
        <f t="shared" si="0"/>
        <v>0.20816330315263928</v>
      </c>
      <c r="D23" s="950"/>
      <c r="E23" s="235" t="s">
        <v>1300</v>
      </c>
      <c r="F23" s="1143">
        <v>2.4712002549897258</v>
      </c>
      <c r="G23" s="1147" t="s">
        <v>1276</v>
      </c>
      <c r="H23" s="577"/>
      <c r="I23" s="577"/>
      <c r="J23" s="577"/>
      <c r="K23" s="1101"/>
    </row>
    <row r="24" spans="1:11" x14ac:dyDescent="0.35">
      <c r="A24" s="1137" t="s">
        <v>1301</v>
      </c>
      <c r="B24" s="960" cm="1">
        <f t="array" ref="B24">IFERROR(AVERAGE(IF($G$11:$K$325=A24,$F$11:$F$325)),"")</f>
        <v>0.45375422930693288</v>
      </c>
      <c r="C24" s="961">
        <f t="shared" si="0"/>
        <v>0.32670304510099168</v>
      </c>
      <c r="D24" s="950"/>
      <c r="E24" s="235" t="s">
        <v>1302</v>
      </c>
      <c r="F24" s="1143">
        <v>2.471200254989725</v>
      </c>
      <c r="G24" s="1147" t="s">
        <v>1276</v>
      </c>
      <c r="H24" s="577"/>
      <c r="I24" s="577"/>
      <c r="J24" s="577"/>
      <c r="K24" s="1101"/>
    </row>
    <row r="25" spans="1:11" x14ac:dyDescent="0.35">
      <c r="A25" s="1137" t="s">
        <v>1303</v>
      </c>
      <c r="B25" s="960" cm="1">
        <f t="array" ref="B25">IFERROR(AVERAGE(IF($G$11:$K$325=A25,$F$11:$F$325)),"")</f>
        <v>0.10687137361538372</v>
      </c>
      <c r="C25" s="961">
        <f t="shared" si="0"/>
        <v>7.694738900307628E-2</v>
      </c>
      <c r="D25" s="950"/>
      <c r="E25" s="235" t="s">
        <v>1304</v>
      </c>
      <c r="F25" s="1143">
        <v>2.4712002549897272</v>
      </c>
      <c r="G25" s="1147" t="s">
        <v>1276</v>
      </c>
      <c r="H25" s="577"/>
      <c r="I25" s="577"/>
      <c r="J25" s="577"/>
      <c r="K25" s="1101"/>
    </row>
    <row r="26" spans="1:11" x14ac:dyDescent="0.35">
      <c r="A26" s="1137" t="s">
        <v>1305</v>
      </c>
      <c r="B26" s="960" cm="1">
        <f t="array" ref="B26">IFERROR(AVERAGE(IF($G$11:$K$325=A26,$F$11:$F$325)),"")</f>
        <v>8.9091134873049982E-2</v>
      </c>
      <c r="C26" s="961">
        <f t="shared" si="0"/>
        <v>6.4145617108595981E-2</v>
      </c>
      <c r="D26" s="950"/>
      <c r="E26" s="235" t="s">
        <v>1306</v>
      </c>
      <c r="F26" s="1143">
        <v>2.4712002549897258</v>
      </c>
      <c r="G26" s="1147" t="s">
        <v>1276</v>
      </c>
      <c r="H26" s="577"/>
      <c r="I26" s="577"/>
      <c r="J26" s="577"/>
      <c r="K26" s="1101"/>
    </row>
    <row r="27" spans="1:11" x14ac:dyDescent="0.35">
      <c r="A27" s="1137" t="s">
        <v>1276</v>
      </c>
      <c r="B27" s="960" cm="1">
        <f t="array" ref="B27">IFERROR(AVERAGE(IF($G$11:$K$325=A27,$F$11:$F$325)),"")</f>
        <v>0.57520486980161423</v>
      </c>
      <c r="C27" s="961">
        <f t="shared" si="0"/>
        <v>0.41414750625716223</v>
      </c>
      <c r="D27" s="950"/>
      <c r="E27" s="235" t="s">
        <v>1307</v>
      </c>
      <c r="F27" s="1143">
        <v>0.17030049134223721</v>
      </c>
      <c r="G27" s="1147" t="s">
        <v>1276</v>
      </c>
      <c r="H27" s="577"/>
      <c r="I27" s="577"/>
      <c r="J27" s="577"/>
      <c r="K27" s="1101"/>
    </row>
    <row r="28" spans="1:11" x14ac:dyDescent="0.35">
      <c r="A28" s="1137" t="s">
        <v>1308</v>
      </c>
      <c r="B28" s="960" cm="1">
        <f t="array" ref="B28">IFERROR(AVERAGE(IF($G$11:$K$325=A28,$F$11:$F$325)),"")</f>
        <v>2.1106688569382732</v>
      </c>
      <c r="C28" s="961">
        <f t="shared" si="0"/>
        <v>1.5196815769955567</v>
      </c>
      <c r="D28" s="950"/>
      <c r="E28" s="235" t="s">
        <v>1309</v>
      </c>
      <c r="F28" s="1143">
        <v>0.1703004913422371</v>
      </c>
      <c r="G28" s="1147" t="s">
        <v>1276</v>
      </c>
      <c r="H28" s="577"/>
      <c r="I28" s="577"/>
      <c r="J28" s="577"/>
      <c r="K28" s="1101"/>
    </row>
    <row r="29" spans="1:11" x14ac:dyDescent="0.35">
      <c r="A29" s="1137" t="s">
        <v>1310</v>
      </c>
      <c r="B29" s="960" cm="1">
        <f t="array" ref="B29">IFERROR(AVERAGE(IF($G$11:$K$325=A29,$F$11:$F$325)),"")</f>
        <v>0.15119240480571455</v>
      </c>
      <c r="C29" s="961">
        <f t="shared" si="0"/>
        <v>0.10885853146011447</v>
      </c>
      <c r="D29" s="950"/>
      <c r="E29" s="235" t="s">
        <v>1311</v>
      </c>
      <c r="F29" s="1143">
        <v>0.17030049134223721</v>
      </c>
      <c r="G29" s="1147" t="s">
        <v>1276</v>
      </c>
      <c r="H29" s="577"/>
      <c r="I29" s="577"/>
      <c r="J29" s="577"/>
      <c r="K29" s="1101"/>
    </row>
    <row r="30" spans="1:11" x14ac:dyDescent="0.35">
      <c r="A30" s="1137" t="s">
        <v>1312</v>
      </c>
      <c r="B30" s="960" cm="1">
        <f t="array" ref="B30">IFERROR(AVERAGE(IF($G$11:$K$325=A30,$F$11:$F$325)),"")</f>
        <v>0.43211593430362372</v>
      </c>
      <c r="C30" s="961">
        <f t="shared" si="0"/>
        <v>0.31112347269860907</v>
      </c>
      <c r="D30" s="950"/>
      <c r="E30" s="235" t="s">
        <v>1313</v>
      </c>
      <c r="F30" s="1143">
        <v>0.45375422930693288</v>
      </c>
      <c r="G30" s="1147" t="s">
        <v>1276</v>
      </c>
      <c r="H30" s="959" t="s">
        <v>1301</v>
      </c>
      <c r="I30" s="577" t="s">
        <v>1314</v>
      </c>
      <c r="J30" s="577"/>
      <c r="K30" s="1101"/>
    </row>
    <row r="31" spans="1:11" x14ac:dyDescent="0.35">
      <c r="A31" s="1137" t="s">
        <v>1315</v>
      </c>
      <c r="B31" s="960" cm="1">
        <f t="array" ref="B31">IFERROR(AVERAGE(IF($G$11:$K$325=A31,$F$11:$F$325)),"")</f>
        <v>6.965762796393336</v>
      </c>
      <c r="C31" s="961">
        <f t="shared" si="0"/>
        <v>5.0153492134032014</v>
      </c>
      <c r="D31" s="950"/>
      <c r="E31" s="235" t="s">
        <v>1316</v>
      </c>
      <c r="F31" s="1143">
        <v>0.45375422930693288</v>
      </c>
      <c r="G31" s="1147" t="s">
        <v>1276</v>
      </c>
      <c r="H31" s="577"/>
      <c r="I31" s="577"/>
      <c r="J31" s="577"/>
      <c r="K31" s="1101"/>
    </row>
    <row r="32" spans="1:11" x14ac:dyDescent="0.35">
      <c r="A32" s="1137" t="s">
        <v>1317</v>
      </c>
      <c r="B32" s="960" cm="1">
        <f t="array" ref="B32">IFERROR(AVERAGE(IF($G$11:$K$325=A32,$F$11:$F$325)),"")</f>
        <v>0.87640515711122868</v>
      </c>
      <c r="C32" s="961">
        <f t="shared" si="0"/>
        <v>0.63101171312008464</v>
      </c>
      <c r="D32" s="950"/>
      <c r="E32" s="235" t="s">
        <v>1318</v>
      </c>
      <c r="F32" s="1143">
        <v>0.45375422930693282</v>
      </c>
      <c r="G32" s="1147" t="s">
        <v>1276</v>
      </c>
      <c r="H32" s="577"/>
      <c r="I32" s="577"/>
      <c r="J32" s="577"/>
      <c r="K32" s="1101"/>
    </row>
    <row r="33" spans="1:11" x14ac:dyDescent="0.35">
      <c r="A33" s="1137" t="s">
        <v>1319</v>
      </c>
      <c r="B33" s="960" cm="1">
        <f t="array" ref="B33">IFERROR(AVERAGE(IF($G$11:$K$325=A33,$F$11:$F$325)),"")</f>
        <v>0.72253826937707022</v>
      </c>
      <c r="C33" s="961">
        <f t="shared" si="0"/>
        <v>0.52022755395149056</v>
      </c>
      <c r="D33" s="950"/>
      <c r="E33" s="235" t="s">
        <v>1320</v>
      </c>
      <c r="F33" s="1143">
        <v>0.45375422930693299</v>
      </c>
      <c r="G33" s="1147" t="s">
        <v>1276</v>
      </c>
      <c r="H33" s="577"/>
      <c r="I33" s="577"/>
      <c r="J33" s="577"/>
      <c r="K33" s="1101"/>
    </row>
    <row r="34" spans="1:11" x14ac:dyDescent="0.35">
      <c r="A34" s="1137" t="s">
        <v>1321</v>
      </c>
      <c r="B34" s="960" cm="1">
        <f t="array" ref="B34">IFERROR(AVERAGE(IF($G$11:$K$325=A34,$F$11:$F$325)),"")</f>
        <v>0.75952509818431269</v>
      </c>
      <c r="C34" s="961">
        <f t="shared" si="0"/>
        <v>0.54685807069270509</v>
      </c>
      <c r="D34" s="950"/>
      <c r="E34" s="235" t="s">
        <v>1322</v>
      </c>
      <c r="F34" s="1143">
        <v>0.45375422930693288</v>
      </c>
      <c r="G34" s="1147" t="s">
        <v>1276</v>
      </c>
      <c r="H34" s="577"/>
      <c r="I34" s="577"/>
      <c r="J34" s="577"/>
      <c r="K34" s="1101"/>
    </row>
    <row r="35" spans="1:11" x14ac:dyDescent="0.35">
      <c r="A35" s="1137" t="s">
        <v>1323</v>
      </c>
      <c r="B35" s="960" cm="1">
        <f t="array" ref="B35">IFERROR(AVERAGE(IF($G$11:$K$325=A35,$F$11:$F$325)),"")</f>
        <v>0.75952509818431246</v>
      </c>
      <c r="C35" s="961">
        <f t="shared" si="0"/>
        <v>0.54685807069270498</v>
      </c>
      <c r="D35" s="950"/>
      <c r="E35" s="235" t="s">
        <v>1324</v>
      </c>
      <c r="F35" s="1143">
        <v>0.45375422930693288</v>
      </c>
      <c r="G35" s="1147" t="s">
        <v>1276</v>
      </c>
      <c r="H35" s="577"/>
      <c r="I35" s="577"/>
      <c r="J35" s="577"/>
      <c r="K35" s="1101"/>
    </row>
    <row r="36" spans="1:11" x14ac:dyDescent="0.35">
      <c r="A36" s="1137" t="s">
        <v>1325</v>
      </c>
      <c r="B36" s="960" cm="1">
        <f t="array" ref="B36">IFERROR(AVERAGE(IF($G$11:$K$325=A36,$F$11:$F$325)),"")</f>
        <v>0.75952509818431269</v>
      </c>
      <c r="C36" s="961">
        <f t="shared" si="0"/>
        <v>0.54685807069270509</v>
      </c>
      <c r="D36" s="950"/>
      <c r="E36" s="235" t="s">
        <v>1326</v>
      </c>
      <c r="F36" s="1143">
        <v>0.45375422930693282</v>
      </c>
      <c r="G36" s="1147" t="s">
        <v>1276</v>
      </c>
      <c r="H36" s="577"/>
      <c r="I36" s="577"/>
      <c r="J36" s="577"/>
      <c r="K36" s="1101"/>
    </row>
    <row r="37" spans="1:11" x14ac:dyDescent="0.35">
      <c r="A37" s="1137" t="s">
        <v>1327</v>
      </c>
      <c r="B37" s="960" cm="1">
        <f t="array" ref="B37">IFERROR(AVERAGE(IF($G$11:$K$325=A37,$F$11:$F$325)),"")</f>
        <v>0.18633843295564059</v>
      </c>
      <c r="C37" s="961">
        <f t="shared" si="0"/>
        <v>0.13416367172806123</v>
      </c>
      <c r="D37" s="950"/>
      <c r="E37" s="235" t="s">
        <v>1328</v>
      </c>
      <c r="F37" s="1143">
        <v>0.45375422930693282</v>
      </c>
      <c r="G37" s="1147" t="s">
        <v>1276</v>
      </c>
      <c r="H37" s="577"/>
      <c r="I37" s="577"/>
      <c r="J37" s="577"/>
      <c r="K37" s="1101"/>
    </row>
    <row r="38" spans="1:11" x14ac:dyDescent="0.35">
      <c r="A38" s="1137" t="s">
        <v>1329</v>
      </c>
      <c r="B38" s="960" cm="1">
        <f t="array" ref="B38">IFERROR(AVERAGE(IF($G$11:$K$325=A38,$F$11:$F$325)),"")</f>
        <v>0.15088281472644849</v>
      </c>
      <c r="C38" s="961">
        <f t="shared" si="0"/>
        <v>0.10863562660304291</v>
      </c>
      <c r="D38" s="950"/>
      <c r="E38" s="235" t="s">
        <v>1330</v>
      </c>
      <c r="F38" s="1143">
        <v>0.45375422930693288</v>
      </c>
      <c r="G38" s="1147" t="s">
        <v>1276</v>
      </c>
      <c r="H38" s="577"/>
      <c r="I38" s="577"/>
      <c r="J38" s="577"/>
      <c r="K38" s="1101"/>
    </row>
    <row r="39" spans="1:11" x14ac:dyDescent="0.35">
      <c r="A39" s="1137" t="s">
        <v>1331</v>
      </c>
      <c r="B39" s="960" cm="1">
        <f t="array" ref="B39">IFERROR(AVERAGE(IF($G$11:$K$325=A39,$F$11:$F$325)),"")</f>
        <v>2.0803528443786221</v>
      </c>
      <c r="C39" s="961">
        <f t="shared" si="0"/>
        <v>1.4978540479526079</v>
      </c>
      <c r="D39" s="950"/>
      <c r="E39" s="235" t="s">
        <v>1332</v>
      </c>
      <c r="F39" s="1143">
        <v>0.64253109147943488</v>
      </c>
      <c r="G39" s="1147" t="s">
        <v>1276</v>
      </c>
      <c r="H39" s="577"/>
      <c r="I39" s="577"/>
      <c r="J39" s="577"/>
      <c r="K39" s="1101"/>
    </row>
    <row r="40" spans="1:11" x14ac:dyDescent="0.35">
      <c r="A40" s="1137" t="s">
        <v>1333</v>
      </c>
      <c r="B40" s="960" cm="1">
        <f t="array" ref="B40">IFERROR(AVERAGE(IF($G$11:$K$325=A40,$F$11:$F$325)),"")</f>
        <v>0.97879420992830646</v>
      </c>
      <c r="C40" s="961">
        <f t="shared" si="0"/>
        <v>0.70473183114838067</v>
      </c>
      <c r="D40" s="950"/>
      <c r="E40" s="235" t="s">
        <v>1334</v>
      </c>
      <c r="F40" s="1143">
        <v>0.6425310914794351</v>
      </c>
      <c r="G40" s="1147" t="s">
        <v>1276</v>
      </c>
      <c r="H40" s="577"/>
      <c r="I40" s="577"/>
      <c r="J40" s="577"/>
      <c r="K40" s="1101"/>
    </row>
    <row r="41" spans="1:11" x14ac:dyDescent="0.35">
      <c r="A41" s="1137" t="s">
        <v>1335</v>
      </c>
      <c r="B41" s="960" cm="1">
        <f t="array" ref="B41">IFERROR(AVERAGE(IF($G$11:$K$325=A41,$F$11:$F$325)),"")</f>
        <v>2.0803528443786208</v>
      </c>
      <c r="C41" s="961">
        <f t="shared" si="0"/>
        <v>1.497854047952607</v>
      </c>
      <c r="D41" s="950"/>
      <c r="E41" s="235" t="s">
        <v>1336</v>
      </c>
      <c r="F41" s="1143">
        <v>7.229534401144519E-2</v>
      </c>
      <c r="G41" s="1147" t="s">
        <v>1276</v>
      </c>
      <c r="H41" s="577"/>
      <c r="I41" s="577"/>
      <c r="J41" s="577"/>
      <c r="K41" s="1101"/>
    </row>
    <row r="42" spans="1:11" x14ac:dyDescent="0.35">
      <c r="A42" s="1137" t="s">
        <v>1337</v>
      </c>
      <c r="B42" s="960" cm="1">
        <f t="array" ref="B42">IFERROR(AVERAGE(IF($G$11:$K$325=A42,$F$11:$F$325)),"")</f>
        <v>2.0803528443786208</v>
      </c>
      <c r="C42" s="961">
        <f t="shared" si="0"/>
        <v>1.497854047952607</v>
      </c>
      <c r="D42" s="950"/>
      <c r="E42" s="235" t="s">
        <v>1338</v>
      </c>
      <c r="F42" s="1143">
        <v>7.2295344011445162E-2</v>
      </c>
      <c r="G42" s="1147" t="s">
        <v>1276</v>
      </c>
      <c r="H42" s="577"/>
      <c r="I42" s="577"/>
      <c r="J42" s="577"/>
      <c r="K42" s="1101"/>
    </row>
    <row r="43" spans="1:11" x14ac:dyDescent="0.35">
      <c r="A43" s="1137" t="s">
        <v>1339</v>
      </c>
      <c r="B43" s="960" cm="1">
        <f t="array" ref="B43">IFERROR(AVERAGE(IF($G$11:$K$325=A43,$F$11:$F$325)),"")</f>
        <v>2.0803528443786221</v>
      </c>
      <c r="C43" s="961">
        <f t="shared" si="0"/>
        <v>1.4978540479526079</v>
      </c>
      <c r="D43" s="950"/>
      <c r="E43" s="235" t="s">
        <v>1340</v>
      </c>
      <c r="F43" s="1143">
        <v>7.2295344011445176E-2</v>
      </c>
      <c r="G43" s="1147" t="s">
        <v>1276</v>
      </c>
      <c r="H43" s="577"/>
      <c r="I43" s="577"/>
      <c r="J43" s="577"/>
      <c r="K43" s="1101"/>
    </row>
    <row r="44" spans="1:11" x14ac:dyDescent="0.35">
      <c r="A44" s="1137" t="s">
        <v>1341</v>
      </c>
      <c r="B44" s="960" cm="1">
        <f t="array" ref="B44">IFERROR(AVERAGE(IF($G$11:$K$325=A44,$F$11:$F$325)),"")</f>
        <v>0.11574048143234029</v>
      </c>
      <c r="C44" s="961">
        <f t="shared" si="0"/>
        <v>8.3333146631285007E-2</v>
      </c>
      <c r="D44" s="950"/>
      <c r="E44" s="235" t="s">
        <v>1342</v>
      </c>
      <c r="F44" s="1143">
        <v>7.2295344011445162E-2</v>
      </c>
      <c r="G44" s="1147" t="s">
        <v>1276</v>
      </c>
      <c r="H44" s="577"/>
      <c r="I44" s="577"/>
      <c r="J44" s="577"/>
      <c r="K44" s="1101"/>
    </row>
    <row r="45" spans="1:11" x14ac:dyDescent="0.35">
      <c r="A45" s="1137" t="s">
        <v>1343</v>
      </c>
      <c r="B45" s="960" cm="1">
        <f t="array" ref="B45">IFERROR(AVERAGE(IF($G$11:$K$325=A45,$F$11:$F$325)),"")</f>
        <v>0.35720949660317369</v>
      </c>
      <c r="C45" s="961">
        <f t="shared" si="0"/>
        <v>0.25719083755428507</v>
      </c>
      <c r="D45" s="950"/>
      <c r="E45" s="235" t="s">
        <v>1344</v>
      </c>
      <c r="F45" s="1143">
        <v>7.2295344011445148E-2</v>
      </c>
      <c r="G45" s="1147" t="s">
        <v>1276</v>
      </c>
      <c r="H45" s="577"/>
      <c r="I45" s="577"/>
      <c r="J45" s="577"/>
      <c r="K45" s="1101"/>
    </row>
    <row r="46" spans="1:11" x14ac:dyDescent="0.35">
      <c r="A46" s="1137" t="s">
        <v>1345</v>
      </c>
      <c r="B46" s="960" cm="1">
        <f t="array" ref="B46">IFERROR(AVERAGE(IF($G$11:$K$325=A46,$F$11:$F$325)),"")</f>
        <v>0.11574048143234029</v>
      </c>
      <c r="C46" s="961">
        <f t="shared" si="0"/>
        <v>8.3333146631285007E-2</v>
      </c>
      <c r="D46" s="950"/>
      <c r="E46" s="235" t="s">
        <v>1346</v>
      </c>
      <c r="F46" s="1143">
        <v>7.2295344011445176E-2</v>
      </c>
      <c r="G46" s="1147" t="s">
        <v>1276</v>
      </c>
      <c r="H46" s="577"/>
      <c r="I46" s="577"/>
      <c r="J46" s="577"/>
      <c r="K46" s="1101"/>
    </row>
    <row r="47" spans="1:11" x14ac:dyDescent="0.35">
      <c r="A47" s="1137" t="s">
        <v>1314</v>
      </c>
      <c r="B47" s="960" cm="1">
        <f t="array" ref="B47">IFERROR(AVERAGE(IF($G$11:$K$325=A47,$F$11:$F$325)),"")</f>
        <v>0.41692357176479172</v>
      </c>
      <c r="C47" s="961">
        <f t="shared" si="0"/>
        <v>0.30018497167065</v>
      </c>
      <c r="D47" s="950"/>
      <c r="E47" s="235" t="s">
        <v>1347</v>
      </c>
      <c r="F47" s="1143">
        <v>7.2295344011445176E-2</v>
      </c>
      <c r="G47" s="1147" t="s">
        <v>1276</v>
      </c>
      <c r="H47" s="577"/>
      <c r="I47" s="577"/>
      <c r="J47" s="577"/>
      <c r="K47" s="1101"/>
    </row>
    <row r="48" spans="1:11" x14ac:dyDescent="0.35">
      <c r="A48" s="1137" t="s">
        <v>1348</v>
      </c>
      <c r="B48" s="960" cm="1">
        <f t="array" ref="B48">IFERROR(AVERAGE(IF($G$11:$K$325=A48,$F$11:$F$325)),"")</f>
        <v>0.18633843295564062</v>
      </c>
      <c r="C48" s="961">
        <f t="shared" si="0"/>
        <v>0.13416367172806123</v>
      </c>
      <c r="D48" s="950"/>
      <c r="E48" s="235" t="s">
        <v>1349</v>
      </c>
      <c r="F48" s="1143">
        <v>7.2295344011445176E-2</v>
      </c>
      <c r="G48" s="1147" t="s">
        <v>1276</v>
      </c>
      <c r="H48" s="577"/>
      <c r="I48" s="577"/>
      <c r="J48" s="577"/>
      <c r="K48" s="1101"/>
    </row>
    <row r="49" spans="1:11" x14ac:dyDescent="0.35">
      <c r="A49" s="1137" t="s">
        <v>1350</v>
      </c>
      <c r="B49" s="960" cm="1">
        <f t="array" ref="B49">IFERROR(AVERAGE(IF($G$11:$K$325=A49,$F$11:$F$325)),"")</f>
        <v>0.41823190658072962</v>
      </c>
      <c r="C49" s="961">
        <f t="shared" si="0"/>
        <v>0.30112697273812533</v>
      </c>
      <c r="D49" s="950"/>
      <c r="E49" s="235" t="s">
        <v>1351</v>
      </c>
      <c r="F49" s="1143">
        <v>7.2295344011445162E-2</v>
      </c>
      <c r="G49" s="1147" t="s">
        <v>1276</v>
      </c>
      <c r="H49" s="577"/>
      <c r="I49" s="577"/>
      <c r="J49" s="577"/>
      <c r="K49" s="1101"/>
    </row>
    <row r="50" spans="1:11" x14ac:dyDescent="0.35">
      <c r="A50" s="1137" t="s">
        <v>1352</v>
      </c>
      <c r="B50" s="960" cm="1">
        <f t="array" ref="B50">IFERROR(AVERAGE(IF($G$11:$K$325=A50,$F$11:$F$325)),"")</f>
        <v>2.0803528443786199</v>
      </c>
      <c r="C50" s="961">
        <f t="shared" si="0"/>
        <v>1.4978540479526063</v>
      </c>
      <c r="D50" s="950"/>
      <c r="E50" s="235" t="s">
        <v>1353</v>
      </c>
      <c r="F50" s="1143">
        <v>7.2295344011445162E-2</v>
      </c>
      <c r="G50" s="1147" t="s">
        <v>1276</v>
      </c>
      <c r="H50" s="577"/>
      <c r="I50" s="577"/>
      <c r="J50" s="577"/>
      <c r="K50" s="1101"/>
    </row>
    <row r="51" spans="1:11" x14ac:dyDescent="0.35">
      <c r="A51" s="1137" t="s">
        <v>1354</v>
      </c>
      <c r="B51" s="960" cm="1">
        <f t="array" ref="B51">IFERROR(AVERAGE(IF($G$11:$K$325=A51,$F$11:$F$325)),"")</f>
        <v>0.94825062021979534</v>
      </c>
      <c r="C51" s="961">
        <f t="shared" si="0"/>
        <v>0.68274044655825261</v>
      </c>
      <c r="D51" s="950"/>
      <c r="E51" s="235" t="s">
        <v>1355</v>
      </c>
      <c r="F51" s="1143">
        <v>7.2295344011445148E-2</v>
      </c>
      <c r="G51" s="1147" t="s">
        <v>1276</v>
      </c>
      <c r="H51" s="577"/>
      <c r="I51" s="577"/>
      <c r="J51" s="577"/>
      <c r="K51" s="1101"/>
    </row>
    <row r="52" spans="1:11" x14ac:dyDescent="0.35">
      <c r="A52" s="1137" t="s">
        <v>1356</v>
      </c>
      <c r="B52" s="960" cm="1">
        <f t="array" ref="B52">IFERROR(AVERAGE(IF($G$11:$K$325=A52,$F$11:$F$325)),"")</f>
        <v>0.15088281472644849</v>
      </c>
      <c r="C52" s="961">
        <f t="shared" si="0"/>
        <v>0.10863562660304291</v>
      </c>
      <c r="D52" s="950"/>
      <c r="E52" s="235" t="s">
        <v>1357</v>
      </c>
      <c r="F52" s="1143">
        <v>7.2295344011445176E-2</v>
      </c>
      <c r="G52" s="1147" t="s">
        <v>1276</v>
      </c>
      <c r="H52" s="577"/>
      <c r="I52" s="577"/>
      <c r="J52" s="577"/>
      <c r="K52" s="1101"/>
    </row>
    <row r="53" spans="1:11" x14ac:dyDescent="0.35">
      <c r="A53" s="1137" t="s">
        <v>1358</v>
      </c>
      <c r="B53" s="960" cm="1">
        <f t="array" ref="B53">IFERROR(AVERAGE(IF($G$11:$K$325=A53,$F$11:$F$325)),"")</f>
        <v>0.18633843295564062</v>
      </c>
      <c r="C53" s="961">
        <f t="shared" si="0"/>
        <v>0.13416367172806123</v>
      </c>
      <c r="D53" s="950"/>
      <c r="E53" s="235" t="s">
        <v>1359</v>
      </c>
      <c r="F53" s="1143">
        <v>7.229534401144519E-2</v>
      </c>
      <c r="G53" s="1147" t="s">
        <v>1276</v>
      </c>
      <c r="H53" s="577"/>
      <c r="I53" s="577"/>
      <c r="J53" s="577"/>
      <c r="K53" s="1101"/>
    </row>
    <row r="54" spans="1:11" x14ac:dyDescent="0.35">
      <c r="A54" s="1137" t="s">
        <v>1360</v>
      </c>
      <c r="B54" s="960" cm="1">
        <f t="array" ref="B54">IFERROR(AVERAGE(IF($G$11:$K$325=A54,$F$11:$F$325)),"")</f>
        <v>0.67803436646435578</v>
      </c>
      <c r="C54" s="961">
        <f t="shared" si="0"/>
        <v>0.48818474385433613</v>
      </c>
      <c r="D54" s="950"/>
      <c r="E54" s="235" t="s">
        <v>1361</v>
      </c>
      <c r="F54" s="1143">
        <v>7.2295344011445176E-2</v>
      </c>
      <c r="G54" s="1147" t="s">
        <v>1276</v>
      </c>
      <c r="H54" s="577"/>
      <c r="I54" s="577"/>
      <c r="J54" s="577"/>
      <c r="K54" s="1101"/>
    </row>
    <row r="55" spans="1:11" x14ac:dyDescent="0.35">
      <c r="A55" s="1137" t="s">
        <v>1362</v>
      </c>
      <c r="B55" s="960" cm="1">
        <f t="array" ref="B55">IFERROR(AVERAGE(IF($G$11:$K$325=A55,$F$11:$F$325)),"")</f>
        <v>0.15088281472644849</v>
      </c>
      <c r="C55" s="961">
        <f t="shared" si="0"/>
        <v>0.10863562660304291</v>
      </c>
      <c r="D55" s="950"/>
      <c r="E55" s="235" t="s">
        <v>1363</v>
      </c>
      <c r="F55" s="1143">
        <v>7.229534401144519E-2</v>
      </c>
      <c r="G55" s="1147" t="s">
        <v>1276</v>
      </c>
      <c r="H55" s="577"/>
      <c r="I55" s="577"/>
      <c r="J55" s="577"/>
      <c r="K55" s="1101"/>
    </row>
    <row r="56" spans="1:11" x14ac:dyDescent="0.35">
      <c r="A56" s="1137" t="s">
        <v>1364</v>
      </c>
      <c r="B56" s="960" cm="1">
        <f t="array" ref="B56">IFERROR(AVERAGE(IF($G$11:$K$325=A56,$F$11:$F$325)),"")</f>
        <v>1.2391663283036189</v>
      </c>
      <c r="C56" s="961">
        <f t="shared" si="0"/>
        <v>0.8921997563786056</v>
      </c>
      <c r="D56" s="950"/>
      <c r="E56" s="235" t="s">
        <v>1365</v>
      </c>
      <c r="F56" s="1143">
        <v>7.2295344011445162E-2</v>
      </c>
      <c r="G56" s="1147" t="s">
        <v>1276</v>
      </c>
      <c r="H56" s="577"/>
      <c r="I56" s="577"/>
      <c r="J56" s="577"/>
      <c r="K56" s="1101"/>
    </row>
    <row r="57" spans="1:11" x14ac:dyDescent="0.35">
      <c r="A57" s="1137" t="s">
        <v>1366</v>
      </c>
      <c r="B57" s="960" cm="1">
        <f t="array" ref="B57">IFERROR(AVERAGE(IF($G$11:$K$325=A57,$F$11:$F$325)),"")</f>
        <v>0.35720949660317369</v>
      </c>
      <c r="C57" s="961">
        <f t="shared" si="0"/>
        <v>0.25719083755428507</v>
      </c>
      <c r="D57" s="950"/>
      <c r="E57" s="235" t="s">
        <v>1367</v>
      </c>
      <c r="F57" s="1143">
        <v>7.2295344011445148E-2</v>
      </c>
      <c r="G57" s="1147" t="s">
        <v>1276</v>
      </c>
      <c r="H57" s="577"/>
      <c r="I57" s="577"/>
      <c r="J57" s="577"/>
      <c r="K57" s="1101"/>
    </row>
    <row r="58" spans="1:11" x14ac:dyDescent="0.35">
      <c r="A58" s="1137" t="s">
        <v>1368</v>
      </c>
      <c r="B58" s="960" cm="1">
        <f t="array" ref="B58">IFERROR(AVERAGE(IF($G$11:$K$325=A58,$F$11:$F$325)),"")</f>
        <v>0.43211593430362372</v>
      </c>
      <c r="C58" s="961">
        <f t="shared" si="0"/>
        <v>0.31112347269860907</v>
      </c>
      <c r="D58" s="950"/>
      <c r="E58" s="235" t="s">
        <v>1369</v>
      </c>
      <c r="F58" s="1143">
        <v>0.45812331981852239</v>
      </c>
      <c r="G58" s="1147" t="s">
        <v>1276</v>
      </c>
      <c r="H58" s="577" t="s">
        <v>1314</v>
      </c>
      <c r="I58" s="577"/>
      <c r="J58" s="577"/>
      <c r="K58" s="1101"/>
    </row>
    <row r="59" spans="1:11" x14ac:dyDescent="0.35">
      <c r="A59" s="1137" t="s">
        <v>1370</v>
      </c>
      <c r="B59" s="960" cm="1">
        <f t="array" ref="B59">IFERROR(AVERAGE(IF($G$11:$K$325=A59,$F$11:$F$325)),"")</f>
        <v>0.43211593430362372</v>
      </c>
      <c r="C59" s="961">
        <f t="shared" si="0"/>
        <v>0.31112347269860907</v>
      </c>
      <c r="D59" s="950"/>
      <c r="E59" s="235" t="s">
        <v>1371</v>
      </c>
      <c r="F59" s="1143">
        <v>0.45812331981852239</v>
      </c>
      <c r="G59" s="1147" t="s">
        <v>1276</v>
      </c>
      <c r="H59" s="577"/>
      <c r="I59" s="577"/>
      <c r="J59" s="577"/>
      <c r="K59" s="1101"/>
    </row>
    <row r="60" spans="1:11" x14ac:dyDescent="0.35">
      <c r="A60" s="1137" t="s">
        <v>1372</v>
      </c>
      <c r="B60" s="960" cm="1">
        <f t="array" ref="B60">IFERROR(AVERAGE(IF($G$11:$K$325=A60,$F$11:$F$325)),"")</f>
        <v>0.89459068517445828</v>
      </c>
      <c r="C60" s="961">
        <f t="shared" si="0"/>
        <v>0.64410529332560995</v>
      </c>
      <c r="D60" s="950"/>
      <c r="E60" s="235" t="s">
        <v>1373</v>
      </c>
      <c r="F60" s="1143">
        <v>0.45812331981852239</v>
      </c>
      <c r="G60" s="1147" t="s">
        <v>1276</v>
      </c>
      <c r="H60" s="577"/>
      <c r="I60" s="577"/>
      <c r="J60" s="577"/>
      <c r="K60" s="1101"/>
    </row>
    <row r="61" spans="1:11" x14ac:dyDescent="0.35">
      <c r="A61" s="1137" t="s">
        <v>1374</v>
      </c>
      <c r="B61" s="960" cm="1">
        <f t="array" ref="B61">IFERROR(AVERAGE(IF($G$11:$K$325=A61,$F$11:$F$325)),"")</f>
        <v>2.0803528443786221</v>
      </c>
      <c r="C61" s="961">
        <f t="shared" si="0"/>
        <v>1.4978540479526079</v>
      </c>
      <c r="D61" s="950"/>
      <c r="E61" s="235" t="s">
        <v>1375</v>
      </c>
      <c r="F61" s="1143">
        <v>0.45812331981852239</v>
      </c>
      <c r="G61" s="1147" t="s">
        <v>1276</v>
      </c>
      <c r="H61" s="577"/>
      <c r="I61" s="577"/>
      <c r="J61" s="577"/>
      <c r="K61" s="1101"/>
    </row>
    <row r="62" spans="1:11" x14ac:dyDescent="0.35">
      <c r="A62" s="1137" t="s">
        <v>1376</v>
      </c>
      <c r="B62" s="960" cm="1">
        <f t="array" ref="B62">IFERROR(AVERAGE(IF($G$11:$K$325=A62,$F$11:$F$325)),"")</f>
        <v>0.18862564220900904</v>
      </c>
      <c r="C62" s="961">
        <f t="shared" si="0"/>
        <v>0.1358104623904865</v>
      </c>
      <c r="D62" s="950"/>
      <c r="E62" s="235" t="s">
        <v>1377</v>
      </c>
      <c r="F62" s="1143">
        <v>0.45812331981852228</v>
      </c>
      <c r="G62" s="1147" t="s">
        <v>1276</v>
      </c>
      <c r="H62" s="577"/>
      <c r="I62" s="577"/>
      <c r="J62" s="577"/>
      <c r="K62" s="1101"/>
    </row>
    <row r="63" spans="1:11" x14ac:dyDescent="0.35">
      <c r="A63" s="1137" t="s">
        <v>1378</v>
      </c>
      <c r="B63" s="960" cm="1">
        <f t="array" ref="B63">IFERROR(AVERAGE(IF($G$11:$K$325=A63,$F$11:$F$325)),"")</f>
        <v>2.0753913517713825</v>
      </c>
      <c r="C63" s="961">
        <f t="shared" si="0"/>
        <v>1.4942817732753952</v>
      </c>
      <c r="D63" s="950"/>
      <c r="E63" s="235" t="s">
        <v>1379</v>
      </c>
      <c r="F63" s="1143">
        <v>0.45812331981852239</v>
      </c>
      <c r="G63" s="1147" t="s">
        <v>1276</v>
      </c>
      <c r="H63" s="577"/>
      <c r="I63" s="577"/>
      <c r="J63" s="577"/>
      <c r="K63" s="1101"/>
    </row>
    <row r="64" spans="1:11" x14ac:dyDescent="0.35">
      <c r="A64" s="1137" t="s">
        <v>265</v>
      </c>
      <c r="B64" s="960" cm="1">
        <f t="array" ref="B64">IFERROR(AVERAGE(IF($G$11:$K$325=A64,$F$11:$F$325)),"")</f>
        <v>0.35387374158513085</v>
      </c>
      <c r="C64" s="961">
        <f t="shared" si="0"/>
        <v>0.25478909394129423</v>
      </c>
      <c r="D64" s="950"/>
      <c r="E64" s="235" t="s">
        <v>1380</v>
      </c>
      <c r="F64" s="1143">
        <v>0.45812331981852239</v>
      </c>
      <c r="G64" s="1147" t="s">
        <v>1276</v>
      </c>
      <c r="H64" s="577"/>
      <c r="I64" s="577"/>
      <c r="J64" s="577"/>
      <c r="K64" s="1101"/>
    </row>
    <row r="65" spans="1:11" x14ac:dyDescent="0.35">
      <c r="A65" s="1137" t="s">
        <v>1381</v>
      </c>
      <c r="B65" s="960" cm="1">
        <f t="array" ref="B65">IFERROR(AVERAGE(IF($G$11:$K$325=A65,$F$11:$F$325)),"")</f>
        <v>0.53496368567469843</v>
      </c>
      <c r="C65" s="961">
        <f t="shared" si="0"/>
        <v>0.38517385368578283</v>
      </c>
      <c r="D65" s="950"/>
      <c r="E65" s="235" t="s">
        <v>1382</v>
      </c>
      <c r="F65" s="1143">
        <v>0.45812331981852261</v>
      </c>
      <c r="G65" s="1147" t="s">
        <v>1276</v>
      </c>
      <c r="H65" s="577"/>
      <c r="I65" s="577"/>
      <c r="J65" s="577"/>
      <c r="K65" s="1101"/>
    </row>
    <row r="66" spans="1:11" x14ac:dyDescent="0.35">
      <c r="A66" s="1137" t="s">
        <v>1383</v>
      </c>
      <c r="B66" s="960" cm="1">
        <f t="array" ref="B66">IFERROR(AVERAGE(IF($G$11:$K$325=A66,$F$11:$F$325)),"")</f>
        <v>0.15088281472644849</v>
      </c>
      <c r="C66" s="961">
        <f t="shared" si="0"/>
        <v>0.10863562660304291</v>
      </c>
      <c r="D66" s="950"/>
      <c r="E66" s="235" t="s">
        <v>1384</v>
      </c>
      <c r="F66" s="1143">
        <v>0.45812331981852228</v>
      </c>
      <c r="G66" s="1147" t="s">
        <v>1276</v>
      </c>
      <c r="H66" s="577"/>
      <c r="I66" s="577"/>
      <c r="J66" s="577"/>
      <c r="K66" s="1101"/>
    </row>
    <row r="67" spans="1:11" x14ac:dyDescent="0.35">
      <c r="A67" s="1137" t="s">
        <v>1385</v>
      </c>
      <c r="B67" s="960" cm="1">
        <f t="array" ref="B67">IFERROR(AVERAGE(IF($G$11:$K$325=A67,$F$11:$F$325)),"")</f>
        <v>0.1621255675528146</v>
      </c>
      <c r="C67" s="961">
        <f t="shared" si="0"/>
        <v>0.1167304086380265</v>
      </c>
      <c r="D67" s="950"/>
      <c r="E67" s="235" t="s">
        <v>1386</v>
      </c>
      <c r="F67" s="1143">
        <v>0.3974159703658236</v>
      </c>
      <c r="G67" s="1147" t="s">
        <v>1276</v>
      </c>
      <c r="H67" s="577" t="s">
        <v>1314</v>
      </c>
      <c r="I67" s="577"/>
      <c r="J67" s="577"/>
      <c r="K67" s="1101"/>
    </row>
    <row r="68" spans="1:11" x14ac:dyDescent="0.35">
      <c r="A68" s="1137" t="s">
        <v>1387</v>
      </c>
      <c r="B68" s="960" cm="1">
        <f t="array" ref="B68">IFERROR(AVERAGE(IF($G$11:$K$325=A68,$F$11:$F$325)),"")</f>
        <v>2.791651775178889</v>
      </c>
      <c r="C68" s="961">
        <f t="shared" si="0"/>
        <v>2.0099892781288</v>
      </c>
      <c r="D68" s="950"/>
      <c r="E68" s="235" t="s">
        <v>1388</v>
      </c>
      <c r="F68" s="1143">
        <v>0.39741597036582382</v>
      </c>
      <c r="G68" s="1147" t="s">
        <v>1276</v>
      </c>
      <c r="H68" s="577" t="s">
        <v>1314</v>
      </c>
      <c r="I68" s="577"/>
      <c r="J68" s="577"/>
      <c r="K68" s="1101"/>
    </row>
    <row r="69" spans="1:11" x14ac:dyDescent="0.35">
      <c r="A69" s="1137" t="s">
        <v>1389</v>
      </c>
      <c r="B69" s="960" cm="1">
        <f t="array" ref="B69">IFERROR(AVERAGE(IF($G$11:$K$325=A69,$F$11:$F$325)),"")</f>
        <v>0.14323947546733801</v>
      </c>
      <c r="C69" s="961">
        <f t="shared" si="0"/>
        <v>0.10313242233648336</v>
      </c>
      <c r="D69" s="950"/>
      <c r="E69" s="235" t="s">
        <v>1390</v>
      </c>
      <c r="F69" s="1143">
        <v>0.39741597036582382</v>
      </c>
      <c r="G69" s="1147" t="s">
        <v>1276</v>
      </c>
      <c r="H69" s="577" t="s">
        <v>1314</v>
      </c>
      <c r="I69" s="577"/>
      <c r="J69" s="577"/>
      <c r="K69" s="1101"/>
    </row>
    <row r="70" spans="1:11" x14ac:dyDescent="0.35">
      <c r="A70" s="1137" t="s">
        <v>1391</v>
      </c>
      <c r="B70" s="960" cm="1">
        <f t="array" ref="B70">IFERROR(AVERAGE(IF($G$11:$K$325=A70,$F$11:$F$325)),"")</f>
        <v>1.372447207543027E-3</v>
      </c>
      <c r="C70" s="961">
        <f t="shared" si="0"/>
        <v>9.8816198943097941E-4</v>
      </c>
      <c r="D70" s="950"/>
      <c r="E70" s="235" t="s">
        <v>1392</v>
      </c>
      <c r="F70" s="1143">
        <v>0.20784481903798829</v>
      </c>
      <c r="G70" s="1147" t="s">
        <v>1276</v>
      </c>
      <c r="H70" s="577"/>
      <c r="I70" s="577"/>
      <c r="J70" s="577"/>
      <c r="K70" s="1101"/>
    </row>
    <row r="71" spans="1:11" x14ac:dyDescent="0.35">
      <c r="A71" s="1137" t="s">
        <v>1393</v>
      </c>
      <c r="B71" s="960" cm="1">
        <f t="array" ref="B71">IFERROR(AVERAGE(IF($G$11:$K$325=A71,$F$11:$F$325)),"")</f>
        <v>0.37391705034447897</v>
      </c>
      <c r="C71" s="961">
        <f t="shared" si="0"/>
        <v>0.26922027624802486</v>
      </c>
      <c r="D71" s="950"/>
      <c r="E71" s="235" t="s">
        <v>1394</v>
      </c>
      <c r="F71" s="1143">
        <v>0.39741597036582371</v>
      </c>
      <c r="G71" s="1147" t="s">
        <v>1276</v>
      </c>
      <c r="H71" s="577" t="s">
        <v>1314</v>
      </c>
      <c r="I71" s="577" t="s">
        <v>265</v>
      </c>
      <c r="J71" s="577"/>
      <c r="K71" s="1101"/>
    </row>
    <row r="72" spans="1:11" x14ac:dyDescent="0.35">
      <c r="A72" s="1137" t="s">
        <v>1395</v>
      </c>
      <c r="B72" s="960" t="str" cm="1">
        <f t="array" ref="B72">IFERROR(AVERAGE(IF($G$11:$K$325=A72,$F$11:$F$325)),"")</f>
        <v/>
      </c>
      <c r="C72" s="961" t="str">
        <f t="shared" si="0"/>
        <v/>
      </c>
      <c r="D72" s="950"/>
      <c r="E72" s="235" t="s">
        <v>1396</v>
      </c>
      <c r="F72" s="1143">
        <v>0.26140503333197879</v>
      </c>
      <c r="G72" s="1147" t="s">
        <v>1276</v>
      </c>
      <c r="H72" s="577"/>
      <c r="I72" s="577"/>
      <c r="J72" s="577"/>
      <c r="K72" s="1101"/>
    </row>
    <row r="73" spans="1:11" x14ac:dyDescent="0.35">
      <c r="A73" s="1137" t="s">
        <v>1395</v>
      </c>
      <c r="B73" s="960" t="str" cm="1">
        <f t="array" ref="B73">IFERROR(AVERAGE(IF($G$11:$K$325=A73,$F$11:$F$325)),"")</f>
        <v/>
      </c>
      <c r="C73" s="961" t="str">
        <f t="shared" si="0"/>
        <v/>
      </c>
      <c r="D73" s="950"/>
      <c r="E73" s="235" t="s">
        <v>1397</v>
      </c>
      <c r="F73" s="1143">
        <v>8.0127808673752118E-2</v>
      </c>
      <c r="G73" s="1147" t="s">
        <v>1276</v>
      </c>
      <c r="H73" s="577"/>
      <c r="I73" s="577"/>
      <c r="J73" s="577"/>
      <c r="K73" s="1101"/>
    </row>
    <row r="74" spans="1:11" x14ac:dyDescent="0.35">
      <c r="A74" s="1137" t="s">
        <v>1395</v>
      </c>
      <c r="B74" s="960" t="str" cm="1">
        <f t="array" ref="B74">IFERROR(AVERAGE(IF($G$11:$K$325=A74,$F$11:$F$325)),"")</f>
        <v/>
      </c>
      <c r="C74" s="961" t="str">
        <f t="shared" si="0"/>
        <v/>
      </c>
      <c r="D74" s="950"/>
      <c r="E74" s="235" t="s">
        <v>1398</v>
      </c>
      <c r="F74" s="1143">
        <v>8.0127808673752118E-2</v>
      </c>
      <c r="G74" s="1147" t="s">
        <v>1276</v>
      </c>
      <c r="H74" s="577"/>
      <c r="I74" s="577"/>
      <c r="J74" s="577"/>
      <c r="K74" s="1101"/>
    </row>
    <row r="75" spans="1:11" x14ac:dyDescent="0.35">
      <c r="A75" s="1137" t="s">
        <v>1395</v>
      </c>
      <c r="B75" s="960" t="str" cm="1">
        <f t="array" ref="B75">IFERROR(AVERAGE(IF($G$11:$K$325=A75,$F$11:$F$325)),"")</f>
        <v/>
      </c>
      <c r="C75" s="961" t="str">
        <f t="shared" si="0"/>
        <v/>
      </c>
      <c r="D75" s="950"/>
      <c r="E75" s="235" t="s">
        <v>1399</v>
      </c>
      <c r="F75" s="1143">
        <v>8.0127808673752104E-2</v>
      </c>
      <c r="G75" s="1147" t="s">
        <v>1276</v>
      </c>
      <c r="H75" s="577"/>
      <c r="I75" s="577"/>
      <c r="J75" s="577"/>
      <c r="K75" s="1101"/>
    </row>
    <row r="76" spans="1:11" x14ac:dyDescent="0.35">
      <c r="A76" s="1137" t="s">
        <v>1395</v>
      </c>
      <c r="B76" s="960" t="str" cm="1">
        <f t="array" ref="B76">IFERROR(AVERAGE(IF($G$11:$K$325=A76,$F$11:$F$325)),"")</f>
        <v/>
      </c>
      <c r="C76" s="961" t="str">
        <f t="shared" si="0"/>
        <v/>
      </c>
      <c r="D76" s="950"/>
      <c r="E76" s="235" t="s">
        <v>1400</v>
      </c>
      <c r="F76" s="1143">
        <v>8.0127808673752104E-2</v>
      </c>
      <c r="G76" s="1147" t="s">
        <v>1276</v>
      </c>
      <c r="H76" s="577"/>
      <c r="I76" s="577"/>
      <c r="J76" s="577"/>
      <c r="K76" s="1101"/>
    </row>
    <row r="77" spans="1:11" x14ac:dyDescent="0.35">
      <c r="A77" s="1137" t="s">
        <v>1395</v>
      </c>
      <c r="B77" s="960" t="str" cm="1">
        <f t="array" ref="B77">IFERROR(AVERAGE(IF($G$11:$K$325=A77,$F$11:$F$325)),"")</f>
        <v/>
      </c>
      <c r="C77" s="961" t="str">
        <f t="shared" si="0"/>
        <v/>
      </c>
      <c r="D77" s="950"/>
      <c r="E77" s="235" t="s">
        <v>1401</v>
      </c>
      <c r="F77" s="1143">
        <v>8.0127808673752118E-2</v>
      </c>
      <c r="G77" s="1147" t="s">
        <v>1276</v>
      </c>
      <c r="H77" s="577"/>
      <c r="I77" s="577"/>
      <c r="J77" s="577"/>
      <c r="K77" s="1101"/>
    </row>
    <row r="78" spans="1:11" x14ac:dyDescent="0.35">
      <c r="A78" s="1137" t="s">
        <v>1395</v>
      </c>
      <c r="B78" s="960" t="str" cm="1">
        <f t="array" ref="B78">IFERROR(AVERAGE(IF($G$11:$K$325=A78,$F$11:$F$325)),"")</f>
        <v/>
      </c>
      <c r="C78" s="961" t="str">
        <f t="shared" ref="C78:C123" si="1">IFERROR(B78*($F$6),"")</f>
        <v/>
      </c>
      <c r="D78" s="950"/>
      <c r="E78" s="235" t="s">
        <v>1402</v>
      </c>
      <c r="F78" s="1143">
        <v>8.0127808673752091E-2</v>
      </c>
      <c r="G78" s="1147" t="s">
        <v>1276</v>
      </c>
      <c r="H78" s="577"/>
      <c r="I78" s="577"/>
      <c r="J78" s="577"/>
      <c r="K78" s="1101"/>
    </row>
    <row r="79" spans="1:11" x14ac:dyDescent="0.35">
      <c r="A79" s="1137" t="s">
        <v>1395</v>
      </c>
      <c r="B79" s="960" t="str" cm="1">
        <f t="array" ref="B79">IFERROR(AVERAGE(IF($G$11:$K$325=A79,$F$11:$F$325)),"")</f>
        <v/>
      </c>
      <c r="C79" s="961" t="str">
        <f t="shared" si="1"/>
        <v/>
      </c>
      <c r="D79" s="950"/>
      <c r="E79" s="235" t="s">
        <v>1403</v>
      </c>
      <c r="F79" s="1143">
        <v>8.0127808673752104E-2</v>
      </c>
      <c r="G79" s="1147"/>
      <c r="H79" s="577"/>
      <c r="I79" s="577"/>
      <c r="J79" s="577"/>
      <c r="K79" s="1101"/>
    </row>
    <row r="80" spans="1:11" x14ac:dyDescent="0.35">
      <c r="A80" s="1137" t="s">
        <v>1395</v>
      </c>
      <c r="B80" s="960" t="str" cm="1">
        <f t="array" ref="B80">IFERROR(AVERAGE(IF($G$11:$K$325=A80,$F$11:$F$325)),"")</f>
        <v/>
      </c>
      <c r="C80" s="961" t="str">
        <f t="shared" si="1"/>
        <v/>
      </c>
      <c r="D80" s="950"/>
      <c r="E80" s="235" t="s">
        <v>1404</v>
      </c>
      <c r="F80" s="1143">
        <v>6.0818141201522763E-2</v>
      </c>
      <c r="G80" s="1039"/>
      <c r="H80" s="577"/>
      <c r="I80" s="577"/>
      <c r="J80" s="577"/>
      <c r="K80" s="1101"/>
    </row>
    <row r="81" spans="1:11" x14ac:dyDescent="0.35">
      <c r="A81" s="1137" t="s">
        <v>1395</v>
      </c>
      <c r="B81" s="960" t="str" cm="1">
        <f t="array" ref="B81">IFERROR(AVERAGE(IF($G$11:$K$325=A81,$F$11:$F$325)),"")</f>
        <v/>
      </c>
      <c r="C81" s="961" t="str">
        <f t="shared" si="1"/>
        <v/>
      </c>
      <c r="D81" s="950"/>
      <c r="E81" s="235" t="s">
        <v>1405</v>
      </c>
      <c r="F81" s="1143">
        <v>6.0818141201522763E-2</v>
      </c>
      <c r="G81" s="1039"/>
      <c r="H81" s="577"/>
      <c r="I81" s="577"/>
      <c r="J81" s="577"/>
      <c r="K81" s="1101"/>
    </row>
    <row r="82" spans="1:11" x14ac:dyDescent="0.35">
      <c r="A82" s="1137" t="s">
        <v>1395</v>
      </c>
      <c r="B82" s="960" t="str" cm="1">
        <f t="array" ref="B82">IFERROR(AVERAGE(IF($G$11:$K$325=A82,$F$11:$F$325)),"")</f>
        <v/>
      </c>
      <c r="C82" s="961" t="str">
        <f t="shared" si="1"/>
        <v/>
      </c>
      <c r="D82" s="950"/>
      <c r="E82" s="235" t="s">
        <v>1406</v>
      </c>
      <c r="F82" s="1143">
        <v>6.0818141201522763E-2</v>
      </c>
      <c r="G82" s="1039"/>
      <c r="H82" s="577"/>
      <c r="I82" s="577"/>
      <c r="J82" s="577"/>
      <c r="K82" s="1101"/>
    </row>
    <row r="83" spans="1:11" x14ac:dyDescent="0.35">
      <c r="A83" s="1137" t="s">
        <v>1395</v>
      </c>
      <c r="B83" s="960" t="str" cm="1">
        <f t="array" ref="B83">IFERROR(AVERAGE(IF($G$11:$K$325=A83,$F$11:$F$325)),"")</f>
        <v/>
      </c>
      <c r="C83" s="961" t="str">
        <f t="shared" si="1"/>
        <v/>
      </c>
      <c r="D83" s="950"/>
      <c r="E83" s="235" t="s">
        <v>1407</v>
      </c>
      <c r="F83" s="1143">
        <v>0.27809133074383541</v>
      </c>
      <c r="G83" s="1039" t="s">
        <v>1299</v>
      </c>
      <c r="H83" s="577" t="s">
        <v>1350</v>
      </c>
      <c r="I83" s="577"/>
      <c r="J83" s="577"/>
      <c r="K83" s="1101"/>
    </row>
    <row r="84" spans="1:11" x14ac:dyDescent="0.35">
      <c r="A84" s="1137" t="s">
        <v>1395</v>
      </c>
      <c r="B84" s="960" t="str" cm="1">
        <f t="array" ref="B84">IFERROR(AVERAGE(IF($G$11:$K$325=A84,$F$11:$F$325)),"")</f>
        <v/>
      </c>
      <c r="C84" s="961" t="str">
        <f t="shared" si="1"/>
        <v/>
      </c>
      <c r="D84" s="950"/>
      <c r="E84" s="235" t="s">
        <v>1408</v>
      </c>
      <c r="F84" s="1143">
        <v>0.27809133074383552</v>
      </c>
      <c r="G84" s="1147" t="s">
        <v>1299</v>
      </c>
      <c r="H84" s="577" t="s">
        <v>1350</v>
      </c>
      <c r="I84" s="577"/>
      <c r="J84" s="577"/>
      <c r="K84" s="1101"/>
    </row>
    <row r="85" spans="1:11" x14ac:dyDescent="0.35">
      <c r="A85" s="1137" t="s">
        <v>1395</v>
      </c>
      <c r="B85" s="960" t="str" cm="1">
        <f t="array" ref="B85">IFERROR(AVERAGE(IF($G$11:$K$325=A85,$F$11:$F$325)),"")</f>
        <v/>
      </c>
      <c r="C85" s="961" t="str">
        <f t="shared" si="1"/>
        <v/>
      </c>
      <c r="D85" s="950"/>
      <c r="E85" s="235" t="s">
        <v>1409</v>
      </c>
      <c r="F85" s="1143">
        <v>0.27809133074383541</v>
      </c>
      <c r="G85" s="1147" t="s">
        <v>1299</v>
      </c>
      <c r="H85" s="577" t="s">
        <v>1350</v>
      </c>
      <c r="I85" s="577"/>
      <c r="J85" s="577"/>
      <c r="K85" s="1101"/>
    </row>
    <row r="86" spans="1:11" x14ac:dyDescent="0.35">
      <c r="A86" s="1137" t="s">
        <v>1395</v>
      </c>
      <c r="B86" s="960" t="str" cm="1">
        <f t="array" ref="B86">IFERROR(AVERAGE(IF($G$11:$K$325=A86,$F$11:$F$325)),"")</f>
        <v/>
      </c>
      <c r="C86" s="961" t="str">
        <f t="shared" si="1"/>
        <v/>
      </c>
      <c r="D86" s="950"/>
      <c r="E86" s="235" t="s">
        <v>1410</v>
      </c>
      <c r="F86" s="1143">
        <v>0.27809133074383541</v>
      </c>
      <c r="G86" s="1147" t="s">
        <v>1299</v>
      </c>
      <c r="H86" s="577" t="s">
        <v>1350</v>
      </c>
      <c r="I86" s="577"/>
      <c r="J86" s="577"/>
      <c r="K86" s="1101"/>
    </row>
    <row r="87" spans="1:11" x14ac:dyDescent="0.35">
      <c r="A87" s="1137" t="s">
        <v>1395</v>
      </c>
      <c r="B87" s="960" t="str" cm="1">
        <f t="array" ref="B87">IFERROR(AVERAGE(IF($G$11:$K$325=A87,$F$11:$F$325)),"")</f>
        <v/>
      </c>
      <c r="C87" s="961" t="str">
        <f t="shared" si="1"/>
        <v/>
      </c>
      <c r="D87" s="950"/>
      <c r="E87" s="235" t="s">
        <v>1411</v>
      </c>
      <c r="F87" s="1143">
        <v>0.27809133074383541</v>
      </c>
      <c r="G87" s="1147"/>
      <c r="H87" s="577"/>
      <c r="I87" s="577"/>
      <c r="J87" s="577"/>
      <c r="K87" s="1101"/>
    </row>
    <row r="88" spans="1:11" x14ac:dyDescent="0.35">
      <c r="A88" s="1137" t="s">
        <v>1395</v>
      </c>
      <c r="B88" s="960" t="str" cm="1">
        <f t="array" ref="B88">IFERROR(AVERAGE(IF($G$11:$K$325=A88,$F$11:$F$325)),"")</f>
        <v/>
      </c>
      <c r="C88" s="961" t="str">
        <f t="shared" si="1"/>
        <v/>
      </c>
      <c r="D88" s="950"/>
      <c r="E88" s="235" t="s">
        <v>1412</v>
      </c>
      <c r="F88" s="1143">
        <v>0.27809133074383541</v>
      </c>
      <c r="G88" s="1039"/>
      <c r="H88" s="577"/>
      <c r="I88" s="577"/>
      <c r="J88" s="577"/>
      <c r="K88" s="1101"/>
    </row>
    <row r="89" spans="1:11" x14ac:dyDescent="0.35">
      <c r="A89" s="1137" t="s">
        <v>1395</v>
      </c>
      <c r="B89" s="960" t="str" cm="1">
        <f t="array" ref="B89">IFERROR(AVERAGE(IF($G$11:$K$325=A89,$F$11:$F$325)),"")</f>
        <v/>
      </c>
      <c r="C89" s="961" t="str">
        <f t="shared" si="1"/>
        <v/>
      </c>
      <c r="D89" s="950"/>
      <c r="E89" s="235" t="s">
        <v>1413</v>
      </c>
      <c r="F89" s="1143">
        <v>0.27809133074383541</v>
      </c>
      <c r="G89" s="1039"/>
      <c r="H89" s="577"/>
      <c r="I89" s="577"/>
      <c r="J89" s="577"/>
      <c r="K89" s="1101"/>
    </row>
    <row r="90" spans="1:11" x14ac:dyDescent="0.35">
      <c r="A90" s="1137" t="s">
        <v>1395</v>
      </c>
      <c r="B90" s="960" t="str" cm="1">
        <f t="array" ref="B90">IFERROR(AVERAGE(IF($G$11:$K$325=A90,$F$11:$F$325)),"")</f>
        <v/>
      </c>
      <c r="C90" s="961" t="str">
        <f t="shared" si="1"/>
        <v/>
      </c>
      <c r="D90" s="950"/>
      <c r="E90" s="235" t="s">
        <v>1414</v>
      </c>
      <c r="F90" s="1143">
        <v>0.27809133074383541</v>
      </c>
      <c r="G90" s="1039"/>
      <c r="H90" s="577"/>
      <c r="I90" s="577"/>
      <c r="J90" s="577"/>
      <c r="K90" s="1101"/>
    </row>
    <row r="91" spans="1:11" x14ac:dyDescent="0.35">
      <c r="A91" s="1137" t="s">
        <v>1395</v>
      </c>
      <c r="B91" s="960" t="str" cm="1">
        <f t="array" ref="B91">IFERROR(AVERAGE(IF($G$11:$K$325=A91,$F$11:$F$325)),"")</f>
        <v/>
      </c>
      <c r="C91" s="961" t="str">
        <f t="shared" si="1"/>
        <v/>
      </c>
      <c r="D91" s="950"/>
      <c r="E91" s="235" t="s">
        <v>1415</v>
      </c>
      <c r="F91" s="1143">
        <v>0.12556112108629769</v>
      </c>
      <c r="G91" s="1039"/>
      <c r="H91" s="577"/>
      <c r="I91" s="577"/>
      <c r="J91" s="577"/>
      <c r="K91" s="1101"/>
    </row>
    <row r="92" spans="1:11" x14ac:dyDescent="0.35">
      <c r="A92" s="1137" t="s">
        <v>1395</v>
      </c>
      <c r="B92" s="960" t="str" cm="1">
        <f t="array" ref="B92">IFERROR(AVERAGE(IF($G$11:$K$325=A92,$F$11:$F$325)),"")</f>
        <v/>
      </c>
      <c r="C92" s="961" t="str">
        <f t="shared" si="1"/>
        <v/>
      </c>
      <c r="D92" s="950"/>
      <c r="E92" s="235" t="s">
        <v>1416</v>
      </c>
      <c r="F92" s="1143">
        <v>0.12556112108629769</v>
      </c>
      <c r="G92" s="1039"/>
      <c r="H92" s="577"/>
      <c r="I92" s="577"/>
      <c r="J92" s="577"/>
      <c r="K92" s="1101"/>
    </row>
    <row r="93" spans="1:11" x14ac:dyDescent="0.35">
      <c r="A93" s="1137" t="s">
        <v>1395</v>
      </c>
      <c r="B93" s="960" t="str" cm="1">
        <f t="array" ref="B93">IFERROR(AVERAGE(IF($G$11:$K$325=A93,$F$11:$F$325)),"")</f>
        <v/>
      </c>
      <c r="C93" s="961" t="str">
        <f t="shared" si="1"/>
        <v/>
      </c>
      <c r="D93" s="950"/>
      <c r="E93" s="235" t="s">
        <v>1417</v>
      </c>
      <c r="F93" s="1143">
        <v>0.12556112108629769</v>
      </c>
      <c r="G93" s="1039"/>
      <c r="H93" s="577"/>
      <c r="I93" s="577"/>
      <c r="J93" s="577"/>
      <c r="K93" s="1101"/>
    </row>
    <row r="94" spans="1:11" x14ac:dyDescent="0.35">
      <c r="A94" s="1137" t="s">
        <v>1395</v>
      </c>
      <c r="B94" s="960" t="str" cm="1">
        <f t="array" ref="B94">IFERROR(AVERAGE(IF($G$11:$K$325=A94,$F$11:$F$325)),"")</f>
        <v/>
      </c>
      <c r="C94" s="961" t="str">
        <f t="shared" si="1"/>
        <v/>
      </c>
      <c r="D94" s="950"/>
      <c r="E94" s="235" t="s">
        <v>1418</v>
      </c>
      <c r="F94" s="1143">
        <v>0.12556112108629769</v>
      </c>
      <c r="G94" s="1039"/>
      <c r="H94" s="577"/>
      <c r="I94" s="577"/>
      <c r="J94" s="577"/>
      <c r="K94" s="1101"/>
    </row>
    <row r="95" spans="1:11" x14ac:dyDescent="0.35">
      <c r="A95" s="1137" t="s">
        <v>1395</v>
      </c>
      <c r="B95" s="960" t="str" cm="1">
        <f t="array" ref="B95">IFERROR(AVERAGE(IF($G$11:$K$325=A95,$F$11:$F$325)),"")</f>
        <v/>
      </c>
      <c r="C95" s="961" t="str">
        <f t="shared" si="1"/>
        <v/>
      </c>
      <c r="D95" s="950"/>
      <c r="E95" s="235" t="s">
        <v>1419</v>
      </c>
      <c r="F95" s="1143">
        <v>3.0709013317691038</v>
      </c>
      <c r="G95" s="1039"/>
      <c r="H95" s="577"/>
      <c r="I95" s="577"/>
      <c r="J95" s="577"/>
      <c r="K95" s="1101"/>
    </row>
    <row r="96" spans="1:11" x14ac:dyDescent="0.35">
      <c r="A96" s="1137" t="s">
        <v>1395</v>
      </c>
      <c r="B96" s="960" t="str" cm="1">
        <f t="array" ref="B96">IFERROR(AVERAGE(IF($G$11:$K$325=A96,$F$11:$F$325)),"")</f>
        <v/>
      </c>
      <c r="C96" s="961" t="str">
        <f t="shared" si="1"/>
        <v/>
      </c>
      <c r="D96" s="950"/>
      <c r="E96" s="235" t="s">
        <v>1420</v>
      </c>
      <c r="F96" s="1143">
        <v>0.1916301822674166</v>
      </c>
      <c r="G96" s="1039"/>
      <c r="H96" s="577"/>
      <c r="I96" s="577"/>
      <c r="J96" s="577"/>
      <c r="K96" s="1101"/>
    </row>
    <row r="97" spans="1:11" x14ac:dyDescent="0.35">
      <c r="A97" s="1137" t="s">
        <v>1395</v>
      </c>
      <c r="B97" s="960" t="str" cm="1">
        <f t="array" ref="B97">IFERROR(AVERAGE(IF($G$11:$K$325=A97,$F$11:$F$325)),"")</f>
        <v/>
      </c>
      <c r="C97" s="961" t="str">
        <f t="shared" si="1"/>
        <v/>
      </c>
      <c r="D97" s="950"/>
      <c r="E97" s="235" t="s">
        <v>1421</v>
      </c>
      <c r="F97" s="1143">
        <v>0.1916301822674166</v>
      </c>
      <c r="G97" s="1039"/>
      <c r="H97" s="577"/>
      <c r="I97" s="577"/>
      <c r="J97" s="577"/>
      <c r="K97" s="1101"/>
    </row>
    <row r="98" spans="1:11" x14ac:dyDescent="0.35">
      <c r="A98" s="1137" t="s">
        <v>1395</v>
      </c>
      <c r="B98" s="960" t="str" cm="1">
        <f t="array" ref="B98">IFERROR(AVERAGE(IF($G$11:$K$325=A98,$F$11:$F$325)),"")</f>
        <v/>
      </c>
      <c r="C98" s="961" t="str">
        <f t="shared" si="1"/>
        <v/>
      </c>
      <c r="D98" s="950"/>
      <c r="E98" s="235" t="s">
        <v>1422</v>
      </c>
      <c r="F98" s="1143">
        <v>0.31116443498165952</v>
      </c>
      <c r="G98" s="1039" t="s">
        <v>1299</v>
      </c>
      <c r="H98" s="577"/>
      <c r="I98" s="577"/>
      <c r="J98" s="577"/>
      <c r="K98" s="1101"/>
    </row>
    <row r="99" spans="1:11" x14ac:dyDescent="0.35">
      <c r="A99" s="1137" t="s">
        <v>1395</v>
      </c>
      <c r="B99" s="960" t="str" cm="1">
        <f t="array" ref="B99">IFERROR(AVERAGE(IF($G$11:$K$325=A99,$F$11:$F$325)),"")</f>
        <v/>
      </c>
      <c r="C99" s="961" t="str">
        <f t="shared" si="1"/>
        <v/>
      </c>
      <c r="D99" s="950"/>
      <c r="E99" s="235" t="s">
        <v>1423</v>
      </c>
      <c r="F99" s="1143">
        <v>0.31116443498165952</v>
      </c>
      <c r="G99" s="1147" t="s">
        <v>1299</v>
      </c>
      <c r="H99" s="577"/>
      <c r="I99" s="577"/>
      <c r="J99" s="577"/>
      <c r="K99" s="1101"/>
    </row>
    <row r="100" spans="1:11" x14ac:dyDescent="0.35">
      <c r="A100" s="1137" t="s">
        <v>1395</v>
      </c>
      <c r="B100" s="960" t="str" cm="1">
        <f t="array" ref="B100">IFERROR(AVERAGE(IF($G$11:$K$325=A100,$F$11:$F$325)),"")</f>
        <v/>
      </c>
      <c r="C100" s="961" t="str">
        <f t="shared" si="1"/>
        <v/>
      </c>
      <c r="D100" s="950"/>
      <c r="E100" s="235" t="s">
        <v>1424</v>
      </c>
      <c r="F100" s="1143">
        <v>0.31116443498165952</v>
      </c>
      <c r="G100" s="1147"/>
      <c r="H100" s="577"/>
      <c r="I100" s="577"/>
      <c r="J100" s="577"/>
      <c r="K100" s="1101"/>
    </row>
    <row r="101" spans="1:11" x14ac:dyDescent="0.35">
      <c r="A101" s="1137" t="s">
        <v>1395</v>
      </c>
      <c r="B101" s="960" t="str" cm="1">
        <f t="array" ref="B101">IFERROR(AVERAGE(IF($G$11:$K$325=A101,$F$11:$F$325)),"")</f>
        <v/>
      </c>
      <c r="C101" s="961" t="str">
        <f t="shared" si="1"/>
        <v/>
      </c>
      <c r="D101" s="950"/>
      <c r="E101" s="235" t="s">
        <v>1425</v>
      </c>
      <c r="F101" s="1143">
        <v>0.41635059989505591</v>
      </c>
      <c r="G101" s="1039"/>
      <c r="H101" s="577"/>
      <c r="I101" s="577"/>
      <c r="J101" s="577"/>
      <c r="K101" s="1101"/>
    </row>
    <row r="102" spans="1:11" x14ac:dyDescent="0.35">
      <c r="A102" s="1137" t="s">
        <v>1395</v>
      </c>
      <c r="B102" s="960" t="str" cm="1">
        <f t="array" ref="B102">IFERROR(AVERAGE(IF($G$11:$K$325=A102,$F$11:$F$325)),"")</f>
        <v/>
      </c>
      <c r="C102" s="961" t="str">
        <f t="shared" si="1"/>
        <v/>
      </c>
      <c r="D102" s="950"/>
      <c r="E102" s="235" t="s">
        <v>1426</v>
      </c>
      <c r="F102" s="1143">
        <v>0.1621255675528146</v>
      </c>
      <c r="G102" s="1039" t="s">
        <v>1385</v>
      </c>
      <c r="H102" s="577"/>
      <c r="I102" s="577"/>
      <c r="J102" s="577"/>
      <c r="K102" s="1101"/>
    </row>
    <row r="103" spans="1:11" x14ac:dyDescent="0.35">
      <c r="A103" s="1137" t="s">
        <v>1395</v>
      </c>
      <c r="B103" s="960" t="str" cm="1">
        <f t="array" ref="B103">IFERROR(AVERAGE(IF($G$11:$K$325=A103,$F$11:$F$325)),"")</f>
        <v/>
      </c>
      <c r="C103" s="961" t="str">
        <f t="shared" si="1"/>
        <v/>
      </c>
      <c r="D103" s="950"/>
      <c r="E103" s="235" t="s">
        <v>1427</v>
      </c>
      <c r="F103" s="1143">
        <v>3.992579571504677</v>
      </c>
      <c r="G103" s="1039"/>
      <c r="H103" s="577"/>
      <c r="I103" s="577"/>
      <c r="J103" s="577"/>
      <c r="K103" s="1101"/>
    </row>
    <row r="104" spans="1:11" x14ac:dyDescent="0.35">
      <c r="A104" s="1137" t="s">
        <v>1395</v>
      </c>
      <c r="B104" s="960" t="str" cm="1">
        <f t="array" ref="B104">IFERROR(AVERAGE(IF($G$11:$K$325=A104,$F$11:$F$325)),"")</f>
        <v/>
      </c>
      <c r="C104" s="961" t="str">
        <f t="shared" si="1"/>
        <v/>
      </c>
      <c r="D104" s="950"/>
      <c r="E104" s="235" t="s">
        <v>1428</v>
      </c>
      <c r="F104" s="1143">
        <v>1.164527475087894E-3</v>
      </c>
      <c r="G104" s="1039"/>
      <c r="H104" s="577"/>
      <c r="I104" s="577"/>
      <c r="J104" s="577"/>
      <c r="K104" s="1101"/>
    </row>
    <row r="105" spans="1:11" x14ac:dyDescent="0.35">
      <c r="A105" s="1137" t="s">
        <v>1395</v>
      </c>
      <c r="B105" s="960" t="str" cm="1">
        <f t="array" ref="B105">IFERROR(AVERAGE(IF($G$11:$K$325=A105,$F$11:$F$325)),"")</f>
        <v/>
      </c>
      <c r="C105" s="961" t="str">
        <f t="shared" si="1"/>
        <v/>
      </c>
      <c r="D105" s="950"/>
      <c r="E105" s="235" t="s">
        <v>1429</v>
      </c>
      <c r="F105" s="1143">
        <v>9.9479275801124284E-2</v>
      </c>
      <c r="G105" s="1039"/>
      <c r="H105" s="577"/>
      <c r="I105" s="577"/>
      <c r="J105" s="577"/>
      <c r="K105" s="1101"/>
    </row>
    <row r="106" spans="1:11" x14ac:dyDescent="0.35">
      <c r="A106" s="1137" t="s">
        <v>1395</v>
      </c>
      <c r="B106" s="960" t="str" cm="1">
        <f t="array" ref="B106">IFERROR(AVERAGE(IF($G$11:$K$325=A106,$F$11:$F$325)),"")</f>
        <v/>
      </c>
      <c r="C106" s="961" t="str">
        <f t="shared" si="1"/>
        <v/>
      </c>
      <c r="D106" s="950"/>
      <c r="E106" s="235" t="s">
        <v>1430</v>
      </c>
      <c r="F106" s="1143">
        <v>8.7656147978773108E-2</v>
      </c>
      <c r="G106" s="1039" t="s">
        <v>1303</v>
      </c>
      <c r="H106" s="577" t="s">
        <v>1431</v>
      </c>
      <c r="I106" s="577"/>
      <c r="J106" s="577"/>
      <c r="K106" s="1101"/>
    </row>
    <row r="107" spans="1:11" x14ac:dyDescent="0.35">
      <c r="A107" s="1137" t="s">
        <v>1395</v>
      </c>
      <c r="B107" s="960" t="str" cm="1">
        <f t="array" ref="B107">IFERROR(AVERAGE(IF($G$11:$K$325=A107,$F$11:$F$325)),"")</f>
        <v/>
      </c>
      <c r="C107" s="961" t="str">
        <f t="shared" si="1"/>
        <v/>
      </c>
      <c r="D107" s="950"/>
      <c r="E107" s="235" t="s">
        <v>1432</v>
      </c>
      <c r="F107" s="1143">
        <v>9.947927580112427E-2</v>
      </c>
      <c r="G107" s="1147" t="s">
        <v>1303</v>
      </c>
      <c r="H107" s="577"/>
      <c r="I107" s="577"/>
      <c r="J107" s="577"/>
      <c r="K107" s="1101"/>
    </row>
    <row r="108" spans="1:11" x14ac:dyDescent="0.35">
      <c r="A108" s="1137" t="s">
        <v>1395</v>
      </c>
      <c r="B108" s="960" t="str" cm="1">
        <f t="array" ref="B108">IFERROR(AVERAGE(IF($G$11:$K$325=A108,$F$11:$F$325)),"")</f>
        <v/>
      </c>
      <c r="C108" s="961" t="str">
        <f t="shared" si="1"/>
        <v/>
      </c>
      <c r="D108" s="950"/>
      <c r="E108" s="235" t="s">
        <v>1433</v>
      </c>
      <c r="F108" s="1143">
        <v>0.31033151280443799</v>
      </c>
      <c r="G108" s="1147" t="s">
        <v>265</v>
      </c>
      <c r="H108" s="577"/>
      <c r="I108" s="577"/>
      <c r="J108" s="577"/>
      <c r="K108" s="1101"/>
    </row>
    <row r="109" spans="1:11" x14ac:dyDescent="0.35">
      <c r="A109" s="1137" t="s">
        <v>1395</v>
      </c>
      <c r="B109" s="960" t="str" cm="1">
        <f t="array" ref="B109">IFERROR(AVERAGE(IF($G$11:$K$325=A109,$F$11:$F$325)),"")</f>
        <v/>
      </c>
      <c r="C109" s="961" t="str">
        <f t="shared" si="1"/>
        <v/>
      </c>
      <c r="D109" s="950"/>
      <c r="E109" s="235" t="s">
        <v>1434</v>
      </c>
      <c r="F109" s="1143">
        <v>0.3103315128044381</v>
      </c>
      <c r="G109" s="1039"/>
      <c r="H109" s="577"/>
      <c r="I109" s="577"/>
      <c r="J109" s="577"/>
      <c r="K109" s="1101"/>
    </row>
    <row r="110" spans="1:11" x14ac:dyDescent="0.35">
      <c r="A110" s="1137" t="s">
        <v>1395</v>
      </c>
      <c r="B110" s="960" t="str" cm="1">
        <f t="array" ref="B110">IFERROR(AVERAGE(IF($G$11:$K$325=A110,$F$11:$F$325)),"")</f>
        <v/>
      </c>
      <c r="C110" s="961" t="str">
        <f t="shared" si="1"/>
        <v/>
      </c>
      <c r="D110" s="950"/>
      <c r="E110" s="235" t="s">
        <v>1435</v>
      </c>
      <c r="F110" s="1143">
        <v>0.31033151280443821</v>
      </c>
      <c r="G110" s="1039"/>
      <c r="H110" s="577"/>
      <c r="I110" s="577"/>
      <c r="J110" s="577"/>
      <c r="K110" s="1101"/>
    </row>
    <row r="111" spans="1:11" x14ac:dyDescent="0.35">
      <c r="A111" s="1137" t="s">
        <v>1395</v>
      </c>
      <c r="B111" s="960" t="str" cm="1">
        <f t="array" ref="B111">IFERROR(AVERAGE(IF($G$11:$K$325=A111,$F$11:$F$325)),"")</f>
        <v/>
      </c>
      <c r="C111" s="961" t="str">
        <f t="shared" si="1"/>
        <v/>
      </c>
      <c r="D111" s="950"/>
      <c r="E111" s="235" t="s">
        <v>1436</v>
      </c>
      <c r="F111" s="1143">
        <v>2.2488068518775761</v>
      </c>
      <c r="G111" s="1039" t="s">
        <v>1297</v>
      </c>
      <c r="H111" s="577"/>
      <c r="I111" s="577"/>
      <c r="J111" s="577"/>
      <c r="K111" s="1101"/>
    </row>
    <row r="112" spans="1:11" x14ac:dyDescent="0.35">
      <c r="A112" s="1137" t="s">
        <v>1395</v>
      </c>
      <c r="B112" s="960" t="str" cm="1">
        <f t="array" ref="B112">IFERROR(AVERAGE(IF($G$11:$K$325=A112,$F$11:$F$325)),"")</f>
        <v/>
      </c>
      <c r="C112" s="961" t="str">
        <f t="shared" si="1"/>
        <v/>
      </c>
      <c r="D112" s="950"/>
      <c r="E112" s="235" t="s">
        <v>1437</v>
      </c>
      <c r="F112" s="1143">
        <v>6.965762796393336</v>
      </c>
      <c r="G112" s="1039" t="s">
        <v>1308</v>
      </c>
      <c r="H112" s="577" t="s">
        <v>1315</v>
      </c>
      <c r="I112" s="577"/>
      <c r="J112" s="577"/>
      <c r="K112" s="1101"/>
    </row>
    <row r="113" spans="1:11" x14ac:dyDescent="0.35">
      <c r="A113" s="1137" t="s">
        <v>1395</v>
      </c>
      <c r="B113" s="960" t="str" cm="1">
        <f t="array" ref="B113">IFERROR(AVERAGE(IF($G$11:$K$325=A113,$F$11:$F$325)),"")</f>
        <v/>
      </c>
      <c r="C113" s="961" t="str">
        <f t="shared" si="1"/>
        <v/>
      </c>
      <c r="D113" s="950"/>
      <c r="E113" s="235" t="s">
        <v>1438</v>
      </c>
      <c r="F113" s="1143">
        <v>0.52758171562014344</v>
      </c>
      <c r="G113" s="1147" t="s">
        <v>1308</v>
      </c>
      <c r="H113" s="577"/>
      <c r="I113" s="577"/>
      <c r="J113" s="577"/>
      <c r="K113" s="1101"/>
    </row>
    <row r="114" spans="1:11" x14ac:dyDescent="0.35">
      <c r="A114" s="1137" t="s">
        <v>1395</v>
      </c>
      <c r="B114" s="960" t="str" cm="1">
        <f t="array" ref="B114">IFERROR(AVERAGE(IF($G$11:$K$325=A114,$F$11:$F$325)),"")</f>
        <v/>
      </c>
      <c r="C114" s="961" t="str">
        <f t="shared" si="1"/>
        <v/>
      </c>
      <c r="D114" s="950"/>
      <c r="E114" s="235" t="s">
        <v>1439</v>
      </c>
      <c r="F114" s="1143">
        <v>0.52758171562014311</v>
      </c>
      <c r="G114" s="1147" t="s">
        <v>1308</v>
      </c>
      <c r="H114" s="577"/>
      <c r="I114" s="577"/>
      <c r="J114" s="577"/>
      <c r="K114" s="1101"/>
    </row>
    <row r="115" spans="1:11" x14ac:dyDescent="0.35">
      <c r="A115" s="1137" t="s">
        <v>1395</v>
      </c>
      <c r="B115" s="960" t="str" cm="1">
        <f t="array" ref="B115">IFERROR(AVERAGE(IF($G$11:$K$325=A115,$F$11:$F$325)),"")</f>
        <v/>
      </c>
      <c r="C115" s="961" t="str">
        <f t="shared" si="1"/>
        <v/>
      </c>
      <c r="D115" s="950"/>
      <c r="E115" s="235" t="s">
        <v>1440</v>
      </c>
      <c r="F115" s="1143">
        <v>0.52758171562014311</v>
      </c>
      <c r="G115" s="1147" t="s">
        <v>1308</v>
      </c>
      <c r="H115" s="577"/>
      <c r="I115" s="577"/>
      <c r="J115" s="577"/>
      <c r="K115" s="1101"/>
    </row>
    <row r="116" spans="1:11" x14ac:dyDescent="0.35">
      <c r="A116" s="1137" t="s">
        <v>1395</v>
      </c>
      <c r="B116" s="960" t="str" cm="1">
        <f t="array" ref="B116">IFERROR(AVERAGE(IF($G$11:$K$325=A116,$F$11:$F$325)),"")</f>
        <v/>
      </c>
      <c r="C116" s="961" t="str">
        <f t="shared" si="1"/>
        <v/>
      </c>
      <c r="D116" s="950"/>
      <c r="E116" s="235" t="s">
        <v>1441</v>
      </c>
      <c r="F116" s="1143">
        <v>0.18334830437782729</v>
      </c>
      <c r="G116" s="1147" t="s">
        <v>1310</v>
      </c>
      <c r="H116" s="577"/>
      <c r="I116" s="577"/>
      <c r="J116" s="577"/>
      <c r="K116" s="1101"/>
    </row>
    <row r="117" spans="1:11" x14ac:dyDescent="0.35">
      <c r="A117" s="1137" t="s">
        <v>1395</v>
      </c>
      <c r="B117" s="960" t="str" cm="1">
        <f t="array" ref="B117">IFERROR(AVERAGE(IF($G$11:$K$325=A117,$F$11:$F$325)),"")</f>
        <v/>
      </c>
      <c r="C117" s="961" t="str">
        <f t="shared" si="1"/>
        <v/>
      </c>
      <c r="D117" s="950"/>
      <c r="E117" s="235" t="s">
        <v>1442</v>
      </c>
      <c r="F117" s="1143">
        <v>0.43553902499789787</v>
      </c>
      <c r="G117" s="1147"/>
      <c r="H117" s="577"/>
      <c r="I117" s="577"/>
      <c r="J117" s="577"/>
      <c r="K117" s="1101"/>
    </row>
    <row r="118" spans="1:11" x14ac:dyDescent="0.35">
      <c r="A118" s="1137" t="s">
        <v>1395</v>
      </c>
      <c r="B118" s="960" t="str" cm="1">
        <f t="array" ref="B118">IFERROR(AVERAGE(IF($G$11:$K$325=A118,$F$11:$F$325)),"")</f>
        <v/>
      </c>
      <c r="C118" s="961" t="str">
        <f t="shared" si="1"/>
        <v/>
      </c>
      <c r="D118" s="950"/>
      <c r="E118" s="235" t="s">
        <v>1443</v>
      </c>
      <c r="F118" s="1143">
        <v>0.1833483043778274</v>
      </c>
      <c r="G118" s="1039" t="s">
        <v>1310</v>
      </c>
      <c r="H118" s="577"/>
      <c r="I118" s="577"/>
      <c r="J118" s="577"/>
      <c r="K118" s="1101"/>
    </row>
    <row r="119" spans="1:11" x14ac:dyDescent="0.35">
      <c r="A119" s="1137" t="s">
        <v>1395</v>
      </c>
      <c r="B119" s="960" t="str" cm="1">
        <f t="array" ref="B119">IFERROR(AVERAGE(IF($G$11:$K$325=A119,$F$11:$F$325)),"")</f>
        <v/>
      </c>
      <c r="C119" s="961" t="str">
        <f t="shared" si="1"/>
        <v/>
      </c>
      <c r="D119" s="950"/>
      <c r="E119" s="235" t="s">
        <v>1444</v>
      </c>
      <c r="F119" s="1143">
        <v>0.26285782723032403</v>
      </c>
      <c r="G119" s="1147" t="s">
        <v>1310</v>
      </c>
      <c r="H119" s="577"/>
      <c r="I119" s="577"/>
      <c r="J119" s="577"/>
      <c r="K119" s="1101"/>
    </row>
    <row r="120" spans="1:11" x14ac:dyDescent="0.35">
      <c r="A120" s="1137" t="s">
        <v>1395</v>
      </c>
      <c r="B120" s="960" t="str" cm="1">
        <f t="array" ref="B120">IFERROR(AVERAGE(IF($G$11:$K$325=A120,$F$11:$F$325)),"")</f>
        <v/>
      </c>
      <c r="C120" s="961" t="str">
        <f t="shared" si="1"/>
        <v/>
      </c>
      <c r="D120" s="950"/>
      <c r="E120" s="235" t="s">
        <v>1445</v>
      </c>
      <c r="F120" s="1143">
        <v>1.0667106610253579E-2</v>
      </c>
      <c r="G120" s="1147" t="s">
        <v>1310</v>
      </c>
      <c r="H120" s="577"/>
      <c r="I120" s="577"/>
      <c r="J120" s="577"/>
      <c r="K120" s="1101"/>
    </row>
    <row r="121" spans="1:11" x14ac:dyDescent="0.35">
      <c r="A121" s="1137" t="s">
        <v>1395</v>
      </c>
      <c r="B121" s="960" t="str" cm="1">
        <f t="array" ref="B121">IFERROR(AVERAGE(IF($G$11:$K$325=A121,$F$11:$F$325)),"")</f>
        <v/>
      </c>
      <c r="C121" s="961" t="str">
        <f t="shared" si="1"/>
        <v/>
      </c>
      <c r="D121" s="950"/>
      <c r="E121" s="235" t="s">
        <v>1446</v>
      </c>
      <c r="F121" s="1143">
        <v>0.97879420992830635</v>
      </c>
      <c r="G121" s="1147" t="s">
        <v>1333</v>
      </c>
      <c r="H121" s="577" t="s">
        <v>1350</v>
      </c>
      <c r="I121" s="577"/>
      <c r="J121" s="577"/>
      <c r="K121" s="1101"/>
    </row>
    <row r="122" spans="1:11" x14ac:dyDescent="0.35">
      <c r="A122" s="1137" t="s">
        <v>1395</v>
      </c>
      <c r="B122" s="960" t="str" cm="1">
        <f t="array" ref="B122">IFERROR(AVERAGE(IF($G$11:$K$325=A122,$F$11:$F$325)),"")</f>
        <v/>
      </c>
      <c r="C122" s="961" t="str">
        <f t="shared" si="1"/>
        <v/>
      </c>
      <c r="D122" s="950"/>
      <c r="E122" s="235" t="s">
        <v>1447</v>
      </c>
      <c r="F122" s="1143">
        <v>0.97879420992830657</v>
      </c>
      <c r="G122" s="1147" t="s">
        <v>1333</v>
      </c>
      <c r="H122" s="577"/>
      <c r="I122" s="577"/>
      <c r="J122" s="577"/>
      <c r="K122" s="1101"/>
    </row>
    <row r="123" spans="1:11" ht="15" thickBot="1" x14ac:dyDescent="0.4">
      <c r="A123" s="1161" t="s">
        <v>1395</v>
      </c>
      <c r="B123" s="962" t="str" cm="1">
        <f t="array" ref="B123">IFERROR(AVERAGE(IF($G$11:$K$325=A123,$F$11:$F$325)),"")</f>
        <v/>
      </c>
      <c r="C123" s="963" t="str">
        <f t="shared" si="1"/>
        <v/>
      </c>
      <c r="D123" s="950"/>
      <c r="E123" s="235" t="s">
        <v>1448</v>
      </c>
      <c r="F123" s="1143">
        <v>0.15088281472644849</v>
      </c>
      <c r="G123" s="1147" t="s">
        <v>1329</v>
      </c>
      <c r="H123" s="577" t="s">
        <v>1356</v>
      </c>
      <c r="I123" s="577" t="s">
        <v>1431</v>
      </c>
      <c r="J123" s="577"/>
      <c r="K123" s="1101"/>
    </row>
    <row r="124" spans="1:11" x14ac:dyDescent="0.35">
      <c r="A124" s="950"/>
      <c r="B124" s="958"/>
      <c r="C124" s="958"/>
      <c r="D124" s="950"/>
      <c r="E124" s="235" t="s">
        <v>1449</v>
      </c>
      <c r="F124" s="1143">
        <v>0.15088281472644849</v>
      </c>
      <c r="G124" s="1147" t="s">
        <v>1329</v>
      </c>
      <c r="H124" s="959" t="s">
        <v>1356</v>
      </c>
      <c r="I124" s="577" t="s">
        <v>1431</v>
      </c>
      <c r="J124" s="577"/>
      <c r="K124" s="1101"/>
    </row>
    <row r="125" spans="1:11" x14ac:dyDescent="0.35">
      <c r="A125" s="950"/>
      <c r="B125" s="958"/>
      <c r="C125" s="958"/>
      <c r="D125" s="950"/>
      <c r="E125" s="235" t="s">
        <v>1450</v>
      </c>
      <c r="F125" s="1143">
        <v>0.15088281472644849</v>
      </c>
      <c r="G125" s="1147" t="s">
        <v>1329</v>
      </c>
      <c r="H125" s="959"/>
      <c r="I125" s="577" t="s">
        <v>1431</v>
      </c>
      <c r="J125" s="577"/>
      <c r="K125" s="1101"/>
    </row>
    <row r="126" spans="1:11" x14ac:dyDescent="0.35">
      <c r="A126" s="950"/>
      <c r="B126" s="958"/>
      <c r="C126" s="958"/>
      <c r="D126" s="950"/>
      <c r="E126" s="235" t="s">
        <v>1451</v>
      </c>
      <c r="F126" s="1143">
        <v>0.15088281472644849</v>
      </c>
      <c r="G126" s="1147" t="s">
        <v>1329</v>
      </c>
      <c r="H126" s="577" t="s">
        <v>1383</v>
      </c>
      <c r="I126" s="577" t="s">
        <v>1431</v>
      </c>
      <c r="J126" s="577"/>
      <c r="K126" s="1101"/>
    </row>
    <row r="127" spans="1:11" x14ac:dyDescent="0.35">
      <c r="A127" s="950"/>
      <c r="B127" s="958"/>
      <c r="C127" s="958"/>
      <c r="D127" s="950"/>
      <c r="E127" s="235" t="s">
        <v>1452</v>
      </c>
      <c r="F127" s="1143">
        <v>0.15088281472644849</v>
      </c>
      <c r="G127" s="1147" t="s">
        <v>1329</v>
      </c>
      <c r="H127" s="577" t="s">
        <v>1431</v>
      </c>
      <c r="I127" s="577"/>
      <c r="J127" s="577"/>
      <c r="K127" s="1101"/>
    </row>
    <row r="128" spans="1:11" x14ac:dyDescent="0.35">
      <c r="A128" s="950"/>
      <c r="B128" s="958"/>
      <c r="C128" s="958"/>
      <c r="D128" s="950"/>
      <c r="E128" s="235" t="s">
        <v>1453</v>
      </c>
      <c r="F128" s="1143">
        <v>0.15088281472644849</v>
      </c>
      <c r="G128" s="1147" t="s">
        <v>1362</v>
      </c>
      <c r="H128" s="577" t="s">
        <v>1431</v>
      </c>
      <c r="I128" s="577"/>
      <c r="J128" s="577"/>
      <c r="K128" s="1101"/>
    </row>
    <row r="129" spans="1:11" x14ac:dyDescent="0.35">
      <c r="A129" s="950"/>
      <c r="B129" s="958"/>
      <c r="C129" s="958"/>
      <c r="D129" s="950"/>
      <c r="E129" s="235" t="s">
        <v>1454</v>
      </c>
      <c r="F129" s="1143">
        <v>0.15088281472644841</v>
      </c>
      <c r="G129" s="1147" t="s">
        <v>1317</v>
      </c>
      <c r="H129" s="577" t="s">
        <v>1431</v>
      </c>
      <c r="I129" s="577"/>
      <c r="J129" s="577"/>
      <c r="K129" s="1101"/>
    </row>
    <row r="130" spans="1:11" x14ac:dyDescent="0.35">
      <c r="A130" s="950"/>
      <c r="B130" s="958"/>
      <c r="C130" s="958"/>
      <c r="D130" s="950"/>
      <c r="E130" s="235" t="s">
        <v>1455</v>
      </c>
      <c r="F130" s="1143">
        <v>0.35720949660317369</v>
      </c>
      <c r="G130" s="1147" t="s">
        <v>1360</v>
      </c>
      <c r="H130" s="577" t="s">
        <v>1343</v>
      </c>
      <c r="I130" s="577" t="s">
        <v>1366</v>
      </c>
      <c r="J130" s="577"/>
      <c r="K130" s="1101"/>
    </row>
    <row r="131" spans="1:11" x14ac:dyDescent="0.35">
      <c r="A131" s="950"/>
      <c r="B131" s="958"/>
      <c r="C131" s="958"/>
      <c r="D131" s="950"/>
      <c r="E131" s="235" t="s">
        <v>1456</v>
      </c>
      <c r="F131" s="1143">
        <v>0.35720949660317391</v>
      </c>
      <c r="G131" s="1147"/>
      <c r="H131" s="959"/>
      <c r="I131" s="959"/>
      <c r="J131" s="959"/>
      <c r="K131" s="1148"/>
    </row>
    <row r="132" spans="1:11" x14ac:dyDescent="0.35">
      <c r="A132" s="950"/>
      <c r="B132" s="958"/>
      <c r="C132" s="958"/>
      <c r="D132" s="950"/>
      <c r="E132" s="235" t="s">
        <v>1457</v>
      </c>
      <c r="F132" s="1143">
        <v>1.2391663283036189</v>
      </c>
      <c r="G132" s="1039" t="s">
        <v>1317</v>
      </c>
      <c r="H132" s="577" t="s">
        <v>1364</v>
      </c>
      <c r="I132" s="577"/>
      <c r="J132" s="577"/>
      <c r="K132" s="1101"/>
    </row>
    <row r="133" spans="1:11" x14ac:dyDescent="0.35">
      <c r="A133" s="950"/>
      <c r="B133" s="958"/>
      <c r="C133" s="958"/>
      <c r="D133" s="950"/>
      <c r="E133" s="235" t="s">
        <v>1458</v>
      </c>
      <c r="F133" s="1143">
        <v>1.2391663283036189</v>
      </c>
      <c r="G133" s="1147" t="s">
        <v>1317</v>
      </c>
      <c r="H133" s="959" t="s">
        <v>1364</v>
      </c>
      <c r="I133" s="577"/>
      <c r="J133" s="577"/>
      <c r="K133" s="1101"/>
    </row>
    <row r="134" spans="1:11" x14ac:dyDescent="0.35">
      <c r="A134" s="950"/>
      <c r="B134" s="958"/>
      <c r="C134" s="958"/>
      <c r="D134" s="950"/>
      <c r="E134" s="235" t="s">
        <v>1459</v>
      </c>
      <c r="F134" s="1143">
        <v>0</v>
      </c>
      <c r="G134" s="1147"/>
      <c r="H134" s="959"/>
      <c r="I134" s="577"/>
      <c r="J134" s="577"/>
      <c r="K134" s="1101"/>
    </row>
    <row r="135" spans="1:11" x14ac:dyDescent="0.35">
      <c r="A135" s="950"/>
      <c r="B135" s="958"/>
      <c r="C135" s="958"/>
      <c r="D135" s="950"/>
      <c r="E135" s="235" t="s">
        <v>1460</v>
      </c>
      <c r="F135" s="1143">
        <v>1.2391663283036181</v>
      </c>
      <c r="G135" s="1039"/>
      <c r="H135" s="577"/>
      <c r="I135" s="577"/>
      <c r="J135" s="577"/>
      <c r="K135" s="1101"/>
    </row>
    <row r="136" spans="1:11" x14ac:dyDescent="0.35">
      <c r="A136" s="950"/>
      <c r="B136" s="958"/>
      <c r="C136" s="958"/>
      <c r="D136" s="950"/>
      <c r="E136" s="235" t="s">
        <v>1461</v>
      </c>
      <c r="F136" s="1143">
        <v>0.11574048143234041</v>
      </c>
      <c r="G136" s="1039" t="s">
        <v>1303</v>
      </c>
      <c r="H136" s="577"/>
      <c r="I136" s="577"/>
      <c r="J136" s="577"/>
      <c r="K136" s="1101"/>
    </row>
    <row r="137" spans="1:11" x14ac:dyDescent="0.35">
      <c r="A137" s="950"/>
      <c r="B137" s="958"/>
      <c r="C137" s="958"/>
      <c r="D137" s="950"/>
      <c r="E137" s="235" t="s">
        <v>1462</v>
      </c>
      <c r="F137" s="1143">
        <v>0.11574048143234041</v>
      </c>
      <c r="G137" s="1147" t="s">
        <v>1303</v>
      </c>
      <c r="H137" s="577"/>
      <c r="I137" s="577"/>
      <c r="J137" s="577"/>
      <c r="K137" s="1101"/>
    </row>
    <row r="138" spans="1:11" x14ac:dyDescent="0.35">
      <c r="A138" s="950"/>
      <c r="B138" s="958"/>
      <c r="C138" s="958"/>
      <c r="D138" s="950"/>
      <c r="E138" s="235" t="s">
        <v>1463</v>
      </c>
      <c r="F138" s="1143">
        <v>0.11574048143234041</v>
      </c>
      <c r="G138" s="1147" t="s">
        <v>1303</v>
      </c>
      <c r="H138" s="577"/>
      <c r="I138" s="577"/>
      <c r="J138" s="577"/>
      <c r="K138" s="1101"/>
    </row>
    <row r="139" spans="1:11" x14ac:dyDescent="0.35">
      <c r="A139" s="950"/>
      <c r="B139" s="958"/>
      <c r="C139" s="958"/>
      <c r="D139" s="950"/>
      <c r="E139" s="235" t="s">
        <v>1464</v>
      </c>
      <c r="F139" s="1143">
        <v>0.11574048143234041</v>
      </c>
      <c r="G139" s="1147" t="s">
        <v>1310</v>
      </c>
      <c r="H139" s="577" t="s">
        <v>1431</v>
      </c>
      <c r="I139" s="577"/>
      <c r="J139" s="577"/>
      <c r="K139" s="1101"/>
    </row>
    <row r="140" spans="1:11" x14ac:dyDescent="0.35">
      <c r="A140" s="950"/>
      <c r="B140" s="958"/>
      <c r="C140" s="958"/>
      <c r="D140" s="950"/>
      <c r="E140" s="235" t="s">
        <v>1465</v>
      </c>
      <c r="F140" s="1143">
        <v>0.11574048143234029</v>
      </c>
      <c r="G140" s="1147" t="s">
        <v>1345</v>
      </c>
      <c r="H140" s="577" t="s">
        <v>1341</v>
      </c>
      <c r="I140" s="577"/>
      <c r="J140" s="577"/>
      <c r="K140" s="1101"/>
    </row>
    <row r="141" spans="1:11" x14ac:dyDescent="0.35">
      <c r="A141" s="950"/>
      <c r="B141" s="958"/>
      <c r="C141" s="958"/>
      <c r="D141" s="950"/>
      <c r="E141" s="235" t="s">
        <v>1466</v>
      </c>
      <c r="F141" s="1143">
        <v>8.2936432431374427E-2</v>
      </c>
      <c r="G141" s="1147" t="s">
        <v>1281</v>
      </c>
      <c r="H141" s="959"/>
      <c r="I141" s="577"/>
      <c r="J141" s="577"/>
      <c r="K141" s="1101"/>
    </row>
    <row r="142" spans="1:11" x14ac:dyDescent="0.35">
      <c r="A142" s="950"/>
      <c r="B142" s="958"/>
      <c r="C142" s="958"/>
      <c r="D142" s="950"/>
      <c r="E142" s="235" t="s">
        <v>1467</v>
      </c>
      <c r="F142" s="1143">
        <v>8.2936432431374399E-2</v>
      </c>
      <c r="G142" s="1147" t="s">
        <v>1281</v>
      </c>
      <c r="H142" s="577"/>
      <c r="I142" s="577"/>
      <c r="J142" s="577"/>
      <c r="K142" s="1101"/>
    </row>
    <row r="143" spans="1:11" x14ac:dyDescent="0.35">
      <c r="A143" s="950"/>
      <c r="B143" s="958"/>
      <c r="C143" s="958"/>
      <c r="D143" s="950"/>
      <c r="E143" s="235" t="s">
        <v>1468</v>
      </c>
      <c r="F143" s="1143">
        <v>9.1142702353608537E-2</v>
      </c>
      <c r="G143" s="1147" t="s">
        <v>1305</v>
      </c>
      <c r="H143" s="577"/>
      <c r="I143" s="577"/>
      <c r="J143" s="577"/>
      <c r="K143" s="1101"/>
    </row>
    <row r="144" spans="1:11" x14ac:dyDescent="0.35">
      <c r="A144" s="950"/>
      <c r="B144" s="958"/>
      <c r="C144" s="958"/>
      <c r="D144" s="950"/>
      <c r="E144" s="235" t="s">
        <v>1469</v>
      </c>
      <c r="F144" s="1143">
        <v>9.114270235360851E-2</v>
      </c>
      <c r="G144" s="1147" t="s">
        <v>1305</v>
      </c>
      <c r="H144" s="577"/>
      <c r="I144" s="577"/>
      <c r="J144" s="577"/>
      <c r="K144" s="1101"/>
    </row>
    <row r="145" spans="1:11" x14ac:dyDescent="0.35">
      <c r="A145" s="950"/>
      <c r="B145" s="958"/>
      <c r="C145" s="958"/>
      <c r="D145" s="950"/>
      <c r="E145" s="235" t="s">
        <v>1470</v>
      </c>
      <c r="F145" s="1143">
        <v>9.1142702353608496E-2</v>
      </c>
      <c r="G145" s="1147" t="s">
        <v>1305</v>
      </c>
      <c r="H145" s="577"/>
      <c r="I145" s="577"/>
      <c r="J145" s="577"/>
      <c r="K145" s="1101"/>
    </row>
    <row r="146" spans="1:11" x14ac:dyDescent="0.35">
      <c r="A146" s="950"/>
      <c r="B146" s="958"/>
      <c r="C146" s="958"/>
      <c r="D146" s="950"/>
      <c r="E146" s="235" t="s">
        <v>1471</v>
      </c>
      <c r="F146" s="1143">
        <v>8.2936432431374371E-2</v>
      </c>
      <c r="G146" s="1147" t="s">
        <v>1305</v>
      </c>
      <c r="H146" s="577"/>
      <c r="I146" s="577"/>
      <c r="J146" s="577"/>
      <c r="K146" s="1101"/>
    </row>
    <row r="147" spans="1:11" x14ac:dyDescent="0.35">
      <c r="A147" s="950"/>
      <c r="B147" s="958"/>
      <c r="C147" s="958"/>
      <c r="D147" s="950"/>
      <c r="E147" s="235" t="s">
        <v>1472</v>
      </c>
      <c r="F147" s="1143">
        <v>3.1291462003991882E-2</v>
      </c>
      <c r="G147" s="1147"/>
      <c r="H147" s="577"/>
      <c r="I147" s="577"/>
      <c r="J147" s="577"/>
      <c r="K147" s="1101"/>
    </row>
    <row r="148" spans="1:11" x14ac:dyDescent="0.35">
      <c r="A148" s="950"/>
      <c r="B148" s="958"/>
      <c r="C148" s="958"/>
      <c r="D148" s="950"/>
      <c r="E148" s="235" t="s">
        <v>1473</v>
      </c>
      <c r="F148" s="1143">
        <v>3.1291462003991889E-2</v>
      </c>
      <c r="G148" s="1039"/>
      <c r="H148" s="577"/>
      <c r="I148" s="577"/>
      <c r="J148" s="577"/>
      <c r="K148" s="1101"/>
    </row>
    <row r="149" spans="1:11" x14ac:dyDescent="0.35">
      <c r="A149" s="950"/>
      <c r="B149" s="958"/>
      <c r="C149" s="958"/>
      <c r="D149" s="950"/>
      <c r="E149" s="235" t="s">
        <v>1474</v>
      </c>
      <c r="F149" s="1143">
        <v>3.1291462003991882E-2</v>
      </c>
      <c r="G149" s="1039"/>
      <c r="H149" s="577"/>
      <c r="I149" s="577"/>
      <c r="J149" s="577"/>
      <c r="K149" s="1101"/>
    </row>
    <row r="150" spans="1:11" x14ac:dyDescent="0.35">
      <c r="A150" s="950"/>
      <c r="B150" s="958"/>
      <c r="C150" s="958"/>
      <c r="D150" s="950"/>
      <c r="E150" s="235" t="s">
        <v>1475</v>
      </c>
      <c r="F150" s="1143">
        <v>2.5482964289398309</v>
      </c>
      <c r="G150" s="1039"/>
      <c r="H150" s="577"/>
      <c r="I150" s="577"/>
      <c r="J150" s="577"/>
      <c r="K150" s="1101"/>
    </row>
    <row r="151" spans="1:11" x14ac:dyDescent="0.35">
      <c r="A151" s="950"/>
      <c r="B151" s="958"/>
      <c r="C151" s="958"/>
      <c r="D151" s="950"/>
      <c r="E151" s="235" t="s">
        <v>1476</v>
      </c>
      <c r="F151" s="1143">
        <v>2.0803528443786199</v>
      </c>
      <c r="G151" s="1039" t="s">
        <v>1352</v>
      </c>
      <c r="H151" s="577" t="s">
        <v>1274</v>
      </c>
      <c r="I151" s="577"/>
      <c r="J151" s="577"/>
      <c r="K151" s="1101"/>
    </row>
    <row r="152" spans="1:11" x14ac:dyDescent="0.35">
      <c r="A152" s="950"/>
      <c r="B152" s="958"/>
      <c r="C152" s="958"/>
      <c r="D152" s="950"/>
      <c r="E152" s="235" t="s">
        <v>1477</v>
      </c>
      <c r="F152" s="1143">
        <v>2.0803528443786221</v>
      </c>
      <c r="G152" s="1147" t="s">
        <v>1374</v>
      </c>
      <c r="H152" s="577" t="s">
        <v>1339</v>
      </c>
      <c r="I152" s="577" t="s">
        <v>1331</v>
      </c>
      <c r="J152" s="577" t="s">
        <v>1283</v>
      </c>
      <c r="K152" s="1101"/>
    </row>
    <row r="153" spans="1:11" x14ac:dyDescent="0.35">
      <c r="A153" s="950"/>
      <c r="B153" s="958"/>
      <c r="C153" s="958"/>
      <c r="D153" s="950"/>
      <c r="E153" s="235" t="s">
        <v>1478</v>
      </c>
      <c r="F153" s="1143">
        <v>2.0803528443786208</v>
      </c>
      <c r="G153" s="1147" t="s">
        <v>1337</v>
      </c>
      <c r="H153" s="959" t="s">
        <v>1335</v>
      </c>
      <c r="I153" s="959"/>
      <c r="J153" s="959"/>
      <c r="K153" s="1148"/>
    </row>
    <row r="154" spans="1:11" x14ac:dyDescent="0.35">
      <c r="A154" s="950"/>
      <c r="B154" s="958"/>
      <c r="C154" s="958"/>
      <c r="D154" s="950"/>
      <c r="E154" s="235" t="s">
        <v>1479</v>
      </c>
      <c r="F154" s="1143">
        <v>0.25506704013325149</v>
      </c>
      <c r="G154" s="1147"/>
      <c r="H154" s="577"/>
      <c r="I154" s="577"/>
      <c r="J154" s="577"/>
      <c r="K154" s="1101"/>
    </row>
    <row r="155" spans="1:11" x14ac:dyDescent="0.35">
      <c r="A155" s="950"/>
      <c r="B155" s="958"/>
      <c r="C155" s="958"/>
      <c r="D155" s="950"/>
      <c r="E155" s="235" t="s">
        <v>1480</v>
      </c>
      <c r="F155" s="1143">
        <v>0.25506704013325149</v>
      </c>
      <c r="G155" s="1039"/>
      <c r="H155" s="577"/>
      <c r="I155" s="577"/>
      <c r="J155" s="577"/>
      <c r="K155" s="1101"/>
    </row>
    <row r="156" spans="1:11" x14ac:dyDescent="0.35">
      <c r="A156" s="950"/>
      <c r="B156" s="958"/>
      <c r="C156" s="958"/>
      <c r="D156" s="950"/>
      <c r="E156" s="235" t="s">
        <v>1481</v>
      </c>
      <c r="F156" s="1143">
        <v>0.29718242901164338</v>
      </c>
      <c r="G156" s="1039"/>
      <c r="H156" s="577"/>
      <c r="I156" s="577"/>
      <c r="J156" s="577"/>
      <c r="K156" s="1101"/>
    </row>
    <row r="157" spans="1:11" x14ac:dyDescent="0.35">
      <c r="A157" s="950"/>
      <c r="B157" s="958"/>
      <c r="C157" s="958"/>
      <c r="D157" s="950"/>
      <c r="E157" s="235" t="s">
        <v>1482</v>
      </c>
      <c r="F157" s="1143">
        <v>0.29718242901164338</v>
      </c>
      <c r="G157" s="1039"/>
      <c r="H157" s="577"/>
      <c r="I157" s="577"/>
      <c r="J157" s="577"/>
      <c r="K157" s="1101"/>
    </row>
    <row r="158" spans="1:11" x14ac:dyDescent="0.35">
      <c r="A158" s="950"/>
      <c r="B158" s="958"/>
      <c r="C158" s="958"/>
      <c r="D158" s="950"/>
      <c r="E158" s="235" t="s">
        <v>1483</v>
      </c>
      <c r="F158" s="1143">
        <v>0</v>
      </c>
      <c r="G158" s="1039"/>
      <c r="H158" s="577"/>
      <c r="I158" s="577"/>
      <c r="J158" s="577"/>
      <c r="K158" s="1101"/>
    </row>
    <row r="159" spans="1:11" x14ac:dyDescent="0.35">
      <c r="A159" s="950"/>
      <c r="B159" s="958"/>
      <c r="C159" s="958"/>
      <c r="D159" s="950"/>
      <c r="E159" s="235" t="s">
        <v>1484</v>
      </c>
      <c r="F159" s="1143">
        <v>0.29718242901164332</v>
      </c>
      <c r="G159" s="1039"/>
      <c r="H159" s="577"/>
      <c r="I159" s="577"/>
      <c r="J159" s="577"/>
      <c r="K159" s="1101"/>
    </row>
    <row r="160" spans="1:11" x14ac:dyDescent="0.35">
      <c r="A160" s="950"/>
      <c r="B160" s="958"/>
      <c r="C160" s="958"/>
      <c r="D160" s="950"/>
      <c r="E160" s="235" t="s">
        <v>1485</v>
      </c>
      <c r="F160" s="1143">
        <v>0.26032119507363471</v>
      </c>
      <c r="G160" s="1039" t="s">
        <v>1376</v>
      </c>
      <c r="H160" s="577"/>
      <c r="I160" s="577"/>
      <c r="J160" s="577"/>
      <c r="K160" s="1101"/>
    </row>
    <row r="161" spans="1:11" x14ac:dyDescent="0.35">
      <c r="A161" s="950"/>
      <c r="B161" s="958"/>
      <c r="C161" s="958"/>
      <c r="D161" s="950"/>
      <c r="E161" s="235" t="s">
        <v>1486</v>
      </c>
      <c r="F161" s="1143">
        <v>0.26032119507363471</v>
      </c>
      <c r="G161" s="1039" t="s">
        <v>1376</v>
      </c>
      <c r="H161" s="577"/>
      <c r="I161" s="577"/>
      <c r="J161" s="577"/>
      <c r="K161" s="1101"/>
    </row>
    <row r="162" spans="1:11" x14ac:dyDescent="0.35">
      <c r="A162" s="950"/>
      <c r="B162" s="958"/>
      <c r="C162" s="958"/>
      <c r="D162" s="950"/>
      <c r="E162" s="235" t="s">
        <v>1487</v>
      </c>
      <c r="F162" s="1143">
        <v>0.26032119507363471</v>
      </c>
      <c r="G162" s="1039" t="s">
        <v>1376</v>
      </c>
      <c r="H162" s="577"/>
      <c r="I162" s="577"/>
      <c r="J162" s="577"/>
      <c r="K162" s="1101"/>
    </row>
    <row r="163" spans="1:11" x14ac:dyDescent="0.35">
      <c r="A163" s="950"/>
      <c r="B163" s="958"/>
      <c r="C163" s="958"/>
      <c r="D163" s="950"/>
      <c r="E163" s="235" t="s">
        <v>1488</v>
      </c>
      <c r="F163" s="1143">
        <v>0.26032119507363471</v>
      </c>
      <c r="G163" s="1039" t="s">
        <v>1376</v>
      </c>
      <c r="H163" s="577"/>
      <c r="I163" s="577"/>
      <c r="J163" s="577"/>
      <c r="K163" s="1101"/>
    </row>
    <row r="164" spans="1:11" x14ac:dyDescent="0.35">
      <c r="A164" s="950"/>
      <c r="B164" s="958"/>
      <c r="C164" s="958"/>
      <c r="D164" s="950"/>
      <c r="E164" s="235" t="s">
        <v>1489</v>
      </c>
      <c r="F164" s="1143">
        <v>0.19702071975186369</v>
      </c>
      <c r="G164" s="1039" t="s">
        <v>1376</v>
      </c>
      <c r="H164" s="577"/>
      <c r="I164" s="577"/>
      <c r="J164" s="577"/>
      <c r="K164" s="1101"/>
    </row>
    <row r="165" spans="1:11" x14ac:dyDescent="0.35">
      <c r="A165" s="950"/>
      <c r="B165" s="958"/>
      <c r="C165" s="958"/>
      <c r="D165" s="950"/>
      <c r="E165" s="235" t="s">
        <v>1490</v>
      </c>
      <c r="F165" s="1143">
        <v>0.1970207197518638</v>
      </c>
      <c r="G165" s="1039" t="s">
        <v>1376</v>
      </c>
      <c r="H165" s="577"/>
      <c r="I165" s="577"/>
      <c r="J165" s="577"/>
      <c r="K165" s="1101"/>
    </row>
    <row r="166" spans="1:11" x14ac:dyDescent="0.35">
      <c r="A166" s="950"/>
      <c r="B166" s="958"/>
      <c r="C166" s="958"/>
      <c r="D166" s="950"/>
      <c r="E166" s="235" t="s">
        <v>1491</v>
      </c>
      <c r="F166" s="1143">
        <v>0.19702071975186369</v>
      </c>
      <c r="G166" s="1039" t="s">
        <v>1376</v>
      </c>
      <c r="H166" s="577"/>
      <c r="I166" s="577"/>
      <c r="J166" s="577"/>
      <c r="K166" s="1101"/>
    </row>
    <row r="167" spans="1:11" x14ac:dyDescent="0.35">
      <c r="A167" s="950"/>
      <c r="B167" s="958"/>
      <c r="C167" s="958"/>
      <c r="D167" s="950"/>
      <c r="E167" s="235" t="s">
        <v>1492</v>
      </c>
      <c r="F167" s="1143">
        <v>0.1106337811872424</v>
      </c>
      <c r="G167" s="1039" t="s">
        <v>1376</v>
      </c>
      <c r="H167" s="577"/>
      <c r="I167" s="577"/>
      <c r="J167" s="577"/>
      <c r="K167" s="1101"/>
    </row>
    <row r="168" spans="1:11" x14ac:dyDescent="0.35">
      <c r="A168" s="950"/>
      <c r="B168" s="958"/>
      <c r="C168" s="958"/>
      <c r="D168" s="950"/>
      <c r="E168" s="235" t="s">
        <v>1493</v>
      </c>
      <c r="F168" s="1143">
        <v>0.1106337811872424</v>
      </c>
      <c r="G168" s="1039" t="s">
        <v>1376</v>
      </c>
      <c r="H168" s="577"/>
      <c r="I168" s="577"/>
      <c r="J168" s="577"/>
      <c r="K168" s="1101"/>
    </row>
    <row r="169" spans="1:11" x14ac:dyDescent="0.35">
      <c r="A169" s="950"/>
      <c r="B169" s="958"/>
      <c r="C169" s="958"/>
      <c r="D169" s="950"/>
      <c r="E169" s="235" t="s">
        <v>1494</v>
      </c>
      <c r="F169" s="1143">
        <v>0.1106337811872424</v>
      </c>
      <c r="G169" s="1039" t="s">
        <v>1376</v>
      </c>
      <c r="H169" s="577"/>
      <c r="I169" s="577"/>
      <c r="J169" s="577"/>
      <c r="K169" s="1101"/>
    </row>
    <row r="170" spans="1:11" x14ac:dyDescent="0.35">
      <c r="A170" s="950"/>
      <c r="B170" s="958"/>
      <c r="C170" s="958"/>
      <c r="D170" s="950"/>
      <c r="E170" s="235" t="s">
        <v>1495</v>
      </c>
      <c r="F170" s="1143">
        <v>0.1106337811872424</v>
      </c>
      <c r="G170" s="1039" t="s">
        <v>1376</v>
      </c>
      <c r="H170" s="577"/>
      <c r="I170" s="577"/>
      <c r="J170" s="577"/>
      <c r="K170" s="1101"/>
    </row>
    <row r="171" spans="1:11" x14ac:dyDescent="0.35">
      <c r="A171" s="950"/>
      <c r="B171" s="958"/>
      <c r="C171" s="958"/>
      <c r="D171" s="950"/>
      <c r="E171" s="235" t="s">
        <v>1496</v>
      </c>
      <c r="F171" s="1143">
        <v>4.3897455795528826</v>
      </c>
      <c r="G171" s="1147" t="s">
        <v>1308</v>
      </c>
      <c r="H171" s="577" t="s">
        <v>1277</v>
      </c>
      <c r="I171" s="577" t="s">
        <v>1378</v>
      </c>
      <c r="J171" s="577"/>
      <c r="K171" s="1101"/>
    </row>
    <row r="172" spans="1:11" x14ac:dyDescent="0.35">
      <c r="A172" s="950"/>
      <c r="B172" s="958"/>
      <c r="C172" s="958"/>
      <c r="D172" s="950"/>
      <c r="E172" s="235" t="s">
        <v>1497</v>
      </c>
      <c r="F172" s="1143">
        <v>0.91821423788063272</v>
      </c>
      <c r="G172" s="1147" t="s">
        <v>1308</v>
      </c>
      <c r="H172" s="577" t="s">
        <v>1277</v>
      </c>
      <c r="I172" s="577" t="s">
        <v>1378</v>
      </c>
      <c r="J172" s="577"/>
      <c r="K172" s="1101"/>
    </row>
    <row r="173" spans="1:11" x14ac:dyDescent="0.35">
      <c r="A173" s="950"/>
      <c r="B173" s="958"/>
      <c r="C173" s="958"/>
      <c r="D173" s="950"/>
      <c r="E173" s="235" t="s">
        <v>1498</v>
      </c>
      <c r="F173" s="1143">
        <v>0.91821423788063239</v>
      </c>
      <c r="G173" s="1147" t="s">
        <v>1308</v>
      </c>
      <c r="H173" s="577" t="s">
        <v>1277</v>
      </c>
      <c r="I173" s="577" t="s">
        <v>1378</v>
      </c>
      <c r="J173" s="577"/>
      <c r="K173" s="1101"/>
    </row>
    <row r="174" spans="1:11" x14ac:dyDescent="0.35">
      <c r="A174" s="950"/>
      <c r="B174" s="958"/>
      <c r="C174" s="958"/>
      <c r="D174" s="950"/>
      <c r="E174" s="235" t="s">
        <v>1499</v>
      </c>
      <c r="F174" s="1143">
        <v>0.56068160887016616</v>
      </c>
      <c r="G174" s="1147" t="s">
        <v>1381</v>
      </c>
      <c r="H174" s="577"/>
      <c r="I174" s="577"/>
      <c r="J174" s="577"/>
      <c r="K174" s="1101"/>
    </row>
    <row r="175" spans="1:11" x14ac:dyDescent="0.35">
      <c r="A175" s="950"/>
      <c r="B175" s="958"/>
      <c r="C175" s="958"/>
      <c r="D175" s="950"/>
      <c r="E175" s="235" t="s">
        <v>1500</v>
      </c>
      <c r="F175" s="1143">
        <v>0.56068160887016594</v>
      </c>
      <c r="G175" s="1147" t="s">
        <v>1381</v>
      </c>
      <c r="H175" s="577"/>
      <c r="I175" s="577"/>
      <c r="J175" s="577"/>
      <c r="K175" s="1101"/>
    </row>
    <row r="176" spans="1:11" x14ac:dyDescent="0.35">
      <c r="A176" s="950"/>
      <c r="B176" s="958"/>
      <c r="C176" s="958"/>
      <c r="D176" s="950"/>
      <c r="E176" s="235" t="s">
        <v>1501</v>
      </c>
      <c r="F176" s="1143">
        <v>0.49068781854254362</v>
      </c>
      <c r="G176" s="1039"/>
      <c r="H176" s="577"/>
      <c r="I176" s="577"/>
      <c r="J176" s="577"/>
      <c r="K176" s="1101"/>
    </row>
    <row r="177" spans="1:11" x14ac:dyDescent="0.35">
      <c r="A177" s="950"/>
      <c r="B177" s="958"/>
      <c r="C177" s="958"/>
      <c r="D177" s="950"/>
      <c r="E177" s="235" t="s">
        <v>1502</v>
      </c>
      <c r="F177" s="1143">
        <v>0.49068781854254351</v>
      </c>
      <c r="G177" s="1039"/>
      <c r="H177" s="577"/>
      <c r="I177" s="577"/>
      <c r="J177" s="577"/>
      <c r="K177" s="1101"/>
    </row>
    <row r="178" spans="1:11" x14ac:dyDescent="0.35">
      <c r="A178" s="950"/>
      <c r="B178" s="958"/>
      <c r="C178" s="958"/>
      <c r="D178" s="950"/>
      <c r="E178" s="235" t="s">
        <v>1503</v>
      </c>
      <c r="F178" s="1143">
        <v>0.49068781854254367</v>
      </c>
      <c r="G178" s="1039"/>
      <c r="H178" s="577"/>
      <c r="I178" s="577"/>
      <c r="J178" s="577"/>
      <c r="K178" s="1101"/>
    </row>
    <row r="179" spans="1:11" x14ac:dyDescent="0.35">
      <c r="A179" s="950"/>
      <c r="B179" s="958"/>
      <c r="C179" s="958"/>
      <c r="D179" s="950"/>
      <c r="E179" s="235" t="s">
        <v>1504</v>
      </c>
      <c r="F179" s="1143">
        <v>0.51231071779256543</v>
      </c>
      <c r="G179" s="1039"/>
      <c r="H179" s="577"/>
      <c r="I179" s="577"/>
      <c r="J179" s="577"/>
      <c r="K179" s="1101"/>
    </row>
    <row r="180" spans="1:11" x14ac:dyDescent="0.35">
      <c r="A180" s="950"/>
      <c r="B180" s="958"/>
      <c r="C180" s="958"/>
      <c r="D180" s="950"/>
      <c r="E180" s="235" t="s">
        <v>1505</v>
      </c>
      <c r="F180" s="1143">
        <v>0.49823741925803372</v>
      </c>
      <c r="G180" s="1039"/>
      <c r="H180" s="577"/>
      <c r="I180" s="577"/>
      <c r="J180" s="577"/>
      <c r="K180" s="1101"/>
    </row>
    <row r="181" spans="1:11" x14ac:dyDescent="0.35">
      <c r="A181" s="950"/>
      <c r="B181" s="958"/>
      <c r="C181" s="958"/>
      <c r="D181" s="950"/>
      <c r="E181" s="235" t="s">
        <v>1506</v>
      </c>
      <c r="F181" s="1143">
        <v>0.5053930806060023</v>
      </c>
      <c r="G181" s="1039"/>
      <c r="H181" s="577"/>
      <c r="I181" s="577"/>
      <c r="J181" s="577"/>
      <c r="K181" s="1101"/>
    </row>
    <row r="182" spans="1:11" x14ac:dyDescent="0.35">
      <c r="A182" s="950"/>
      <c r="B182" s="958"/>
      <c r="C182" s="958"/>
      <c r="D182" s="950"/>
      <c r="E182" s="235" t="s">
        <v>1507</v>
      </c>
      <c r="F182" s="1143">
        <v>0.5053930806060023</v>
      </c>
      <c r="G182" s="1039"/>
      <c r="H182" s="577"/>
      <c r="I182" s="577"/>
      <c r="J182" s="577"/>
      <c r="K182" s="1101"/>
    </row>
    <row r="183" spans="1:11" x14ac:dyDescent="0.35">
      <c r="A183" s="950"/>
      <c r="B183" s="958"/>
      <c r="C183" s="958"/>
      <c r="D183" s="950"/>
      <c r="E183" s="235" t="s">
        <v>1508</v>
      </c>
      <c r="F183" s="1143">
        <v>0.70510786758291144</v>
      </c>
      <c r="G183" s="1039"/>
      <c r="H183" s="577"/>
      <c r="I183" s="577"/>
      <c r="J183" s="577"/>
      <c r="K183" s="1101"/>
    </row>
    <row r="184" spans="1:11" x14ac:dyDescent="0.35">
      <c r="A184" s="950"/>
      <c r="B184" s="958"/>
      <c r="C184" s="958"/>
      <c r="D184" s="950"/>
      <c r="E184" s="235" t="s">
        <v>1509</v>
      </c>
      <c r="F184" s="1143">
        <v>0.70510786758291122</v>
      </c>
      <c r="G184" s="1039"/>
      <c r="H184" s="577"/>
      <c r="I184" s="577"/>
      <c r="J184" s="577"/>
      <c r="K184" s="1101"/>
    </row>
    <row r="185" spans="1:11" x14ac:dyDescent="0.35">
      <c r="A185" s="950"/>
      <c r="B185" s="958"/>
      <c r="C185" s="958"/>
      <c r="D185" s="950"/>
      <c r="E185" s="235" t="s">
        <v>1510</v>
      </c>
      <c r="F185" s="1143">
        <v>9.4961626969774695</v>
      </c>
      <c r="G185" s="1039"/>
      <c r="H185" s="577"/>
      <c r="I185" s="577"/>
      <c r="J185" s="577"/>
      <c r="K185" s="1101"/>
    </row>
    <row r="186" spans="1:11" x14ac:dyDescent="0.35">
      <c r="A186" s="950"/>
      <c r="B186" s="958"/>
      <c r="C186" s="958"/>
      <c r="D186" s="950"/>
      <c r="E186" s="235" t="s">
        <v>1511</v>
      </c>
      <c r="F186" s="1143">
        <v>9.4961626969774677</v>
      </c>
      <c r="G186" s="1039"/>
      <c r="H186" s="577"/>
      <c r="I186" s="577"/>
      <c r="J186" s="577"/>
      <c r="K186" s="1101"/>
    </row>
    <row r="187" spans="1:11" x14ac:dyDescent="0.35">
      <c r="A187" s="950"/>
      <c r="B187" s="958"/>
      <c r="C187" s="958"/>
      <c r="D187" s="950"/>
      <c r="E187" s="235" t="s">
        <v>1512</v>
      </c>
      <c r="F187" s="1143">
        <v>0.89459068517445806</v>
      </c>
      <c r="G187" s="1039"/>
      <c r="H187" s="577"/>
      <c r="I187" s="577"/>
      <c r="J187" s="577"/>
      <c r="K187" s="1101"/>
    </row>
    <row r="188" spans="1:11" x14ac:dyDescent="0.35">
      <c r="A188" s="950"/>
      <c r="B188" s="958"/>
      <c r="C188" s="958"/>
      <c r="D188" s="950"/>
      <c r="E188" s="235" t="s">
        <v>1513</v>
      </c>
      <c r="F188" s="1143">
        <v>0.89459068517445828</v>
      </c>
      <c r="G188" s="1039" t="s">
        <v>1372</v>
      </c>
      <c r="H188" s="577"/>
      <c r="I188" s="577"/>
      <c r="J188" s="577"/>
      <c r="K188" s="1101"/>
    </row>
    <row r="189" spans="1:11" x14ac:dyDescent="0.35">
      <c r="A189" s="950"/>
      <c r="B189" s="958"/>
      <c r="C189" s="958"/>
      <c r="D189" s="950"/>
      <c r="E189" s="235" t="s">
        <v>1514</v>
      </c>
      <c r="F189" s="1143">
        <v>1.1908626756081759</v>
      </c>
      <c r="G189" s="1039"/>
      <c r="H189" s="577"/>
      <c r="I189" s="577"/>
      <c r="J189" s="577"/>
      <c r="K189" s="1101"/>
    </row>
    <row r="190" spans="1:11" x14ac:dyDescent="0.35">
      <c r="A190" s="950"/>
      <c r="B190" s="958"/>
      <c r="C190" s="958"/>
      <c r="D190" s="950"/>
      <c r="E190" s="235" t="s">
        <v>1515</v>
      </c>
      <c r="F190" s="1143">
        <v>0.70510786758291166</v>
      </c>
      <c r="G190" s="1039"/>
      <c r="H190" s="577"/>
      <c r="I190" s="577"/>
      <c r="J190" s="577"/>
      <c r="K190" s="1101"/>
    </row>
    <row r="191" spans="1:11" x14ac:dyDescent="0.35">
      <c r="A191" s="950"/>
      <c r="B191" s="958"/>
      <c r="C191" s="958"/>
      <c r="D191" s="950"/>
      <c r="E191" s="235" t="s">
        <v>1516</v>
      </c>
      <c r="F191" s="1143">
        <v>10.371115109571191</v>
      </c>
      <c r="G191" s="1039"/>
      <c r="H191" s="577"/>
      <c r="I191" s="577"/>
      <c r="J191" s="577"/>
      <c r="K191" s="1101"/>
    </row>
    <row r="192" spans="1:11" x14ac:dyDescent="0.35">
      <c r="A192" s="950"/>
      <c r="B192" s="958"/>
      <c r="C192" s="958"/>
      <c r="D192" s="950"/>
      <c r="E192" s="235" t="s">
        <v>1517</v>
      </c>
      <c r="F192" s="1143">
        <v>0.70510786758291122</v>
      </c>
      <c r="G192" s="1039" t="s">
        <v>1381</v>
      </c>
      <c r="H192" s="577"/>
      <c r="I192" s="577"/>
      <c r="J192" s="577"/>
      <c r="K192" s="1101"/>
    </row>
    <row r="193" spans="1:11" x14ac:dyDescent="0.35">
      <c r="A193" s="950"/>
      <c r="B193" s="958"/>
      <c r="C193" s="958"/>
      <c r="D193" s="950"/>
      <c r="E193" s="235" t="s">
        <v>1518</v>
      </c>
      <c r="F193" s="1143">
        <v>0.70510786758291122</v>
      </c>
      <c r="G193" s="1039" t="s">
        <v>1381</v>
      </c>
      <c r="H193" s="577"/>
      <c r="I193" s="577"/>
      <c r="J193" s="577"/>
      <c r="K193" s="1101"/>
    </row>
    <row r="194" spans="1:11" x14ac:dyDescent="0.35">
      <c r="A194" s="950"/>
      <c r="B194" s="958"/>
      <c r="C194" s="958"/>
      <c r="D194" s="950"/>
      <c r="E194" s="235" t="s">
        <v>1519</v>
      </c>
      <c r="F194" s="1143">
        <v>8.32493829395003</v>
      </c>
      <c r="G194" s="1039"/>
      <c r="H194" s="577"/>
      <c r="I194" s="577"/>
      <c r="J194" s="577"/>
      <c r="K194" s="1101"/>
    </row>
    <row r="195" spans="1:11" x14ac:dyDescent="0.35">
      <c r="A195" s="950"/>
      <c r="B195" s="958"/>
      <c r="C195" s="958"/>
      <c r="D195" s="950"/>
      <c r="E195" s="235" t="s">
        <v>1520</v>
      </c>
      <c r="F195" s="1143">
        <v>0.48147713511140872</v>
      </c>
      <c r="G195" s="1039" t="s">
        <v>1289</v>
      </c>
      <c r="H195" s="577"/>
      <c r="I195" s="577"/>
      <c r="J195" s="577"/>
      <c r="K195" s="1101"/>
    </row>
    <row r="196" spans="1:11" x14ac:dyDescent="0.35">
      <c r="A196" s="950"/>
      <c r="B196" s="958"/>
      <c r="C196" s="958"/>
      <c r="D196" s="950"/>
      <c r="E196" s="235" t="s">
        <v>1521</v>
      </c>
      <c r="F196" s="1143">
        <v>0.28272770674346281</v>
      </c>
      <c r="G196" s="1147" t="s">
        <v>1287</v>
      </c>
      <c r="H196" s="577"/>
      <c r="I196" s="577"/>
      <c r="J196" s="577"/>
      <c r="K196" s="1101"/>
    </row>
    <row r="197" spans="1:11" x14ac:dyDescent="0.35">
      <c r="A197" s="950"/>
      <c r="B197" s="958"/>
      <c r="C197" s="958"/>
      <c r="D197" s="950"/>
      <c r="E197" s="235" t="s">
        <v>1522</v>
      </c>
      <c r="F197" s="1143">
        <v>0.28272770674346281</v>
      </c>
      <c r="G197" s="1147" t="s">
        <v>1287</v>
      </c>
      <c r="H197" s="577"/>
      <c r="I197" s="577"/>
      <c r="J197" s="577"/>
      <c r="K197" s="1101"/>
    </row>
    <row r="198" spans="1:11" x14ac:dyDescent="0.35">
      <c r="A198" s="950"/>
      <c r="B198" s="958"/>
      <c r="C198" s="958"/>
      <c r="D198" s="950"/>
      <c r="E198" s="235" t="s">
        <v>1523</v>
      </c>
      <c r="F198" s="1143">
        <v>0.2827277067434627</v>
      </c>
      <c r="G198" s="1147" t="s">
        <v>1287</v>
      </c>
      <c r="H198" s="577"/>
      <c r="I198" s="577"/>
      <c r="J198" s="577"/>
      <c r="K198" s="1101"/>
    </row>
    <row r="199" spans="1:11" x14ac:dyDescent="0.35">
      <c r="A199" s="950"/>
      <c r="B199" s="958"/>
      <c r="C199" s="958"/>
      <c r="D199" s="950"/>
      <c r="E199" s="235" t="s">
        <v>1524</v>
      </c>
      <c r="F199" s="1143">
        <v>0.1744566929931253</v>
      </c>
      <c r="G199" s="1147" t="s">
        <v>1289</v>
      </c>
      <c r="H199" s="577"/>
      <c r="I199" s="577"/>
      <c r="J199" s="577"/>
      <c r="K199" s="1101"/>
    </row>
    <row r="200" spans="1:11" x14ac:dyDescent="0.35">
      <c r="A200" s="950"/>
      <c r="B200" s="958"/>
      <c r="C200" s="958"/>
      <c r="D200" s="950"/>
      <c r="E200" s="235" t="s">
        <v>1525</v>
      </c>
      <c r="F200" s="1143">
        <v>0.1744566929931253</v>
      </c>
      <c r="G200" s="1147" t="s">
        <v>1289</v>
      </c>
      <c r="H200" s="577"/>
      <c r="I200" s="577"/>
      <c r="J200" s="577"/>
      <c r="K200" s="1101"/>
    </row>
    <row r="201" spans="1:11" x14ac:dyDescent="0.35">
      <c r="A201" s="950"/>
      <c r="B201" s="958"/>
      <c r="C201" s="958"/>
      <c r="D201" s="950"/>
      <c r="E201" s="235" t="s">
        <v>1526</v>
      </c>
      <c r="F201" s="1143">
        <v>0.17445669299312519</v>
      </c>
      <c r="G201" s="1147" t="s">
        <v>1289</v>
      </c>
      <c r="H201" s="577"/>
      <c r="I201" s="577"/>
      <c r="J201" s="577"/>
      <c r="K201" s="1101"/>
    </row>
    <row r="202" spans="1:11" x14ac:dyDescent="0.35">
      <c r="A202" s="950"/>
      <c r="B202" s="958"/>
      <c r="C202" s="958"/>
      <c r="D202" s="950"/>
      <c r="E202" s="235" t="s">
        <v>1527</v>
      </c>
      <c r="F202" s="1143">
        <v>0.1744566929931253</v>
      </c>
      <c r="G202" s="1147" t="s">
        <v>1289</v>
      </c>
      <c r="H202" s="577"/>
      <c r="I202" s="577"/>
      <c r="J202" s="577"/>
      <c r="K202" s="1101"/>
    </row>
    <row r="203" spans="1:11" x14ac:dyDescent="0.35">
      <c r="A203" s="950"/>
      <c r="B203" s="958"/>
      <c r="C203" s="958"/>
      <c r="D203" s="950"/>
      <c r="E203" s="235" t="s">
        <v>1528</v>
      </c>
      <c r="F203" s="1143">
        <v>0.17445669299312519</v>
      </c>
      <c r="G203" s="1147" t="s">
        <v>1293</v>
      </c>
      <c r="H203" s="577" t="s">
        <v>1289</v>
      </c>
      <c r="I203" s="577"/>
      <c r="J203" s="577"/>
      <c r="K203" s="1101"/>
    </row>
    <row r="204" spans="1:11" x14ac:dyDescent="0.35">
      <c r="A204" s="950"/>
      <c r="B204" s="958"/>
      <c r="C204" s="958"/>
      <c r="D204" s="950"/>
      <c r="E204" s="235" t="s">
        <v>1529</v>
      </c>
      <c r="F204" s="1143">
        <v>0.75952509818431257</v>
      </c>
      <c r="G204" s="1147" t="s">
        <v>1323</v>
      </c>
      <c r="H204" s="959"/>
      <c r="I204" s="577"/>
      <c r="J204" s="577"/>
      <c r="K204" s="1101"/>
    </row>
    <row r="205" spans="1:11" x14ac:dyDescent="0.35">
      <c r="A205" s="950"/>
      <c r="B205" s="958"/>
      <c r="C205" s="958"/>
      <c r="D205" s="950"/>
      <c r="E205" s="235" t="s">
        <v>1530</v>
      </c>
      <c r="F205" s="1143">
        <v>0.75952509818431257</v>
      </c>
      <c r="G205" s="1147" t="s">
        <v>1285</v>
      </c>
      <c r="H205" s="577"/>
      <c r="I205" s="577"/>
      <c r="J205" s="577"/>
      <c r="K205" s="1101"/>
    </row>
    <row r="206" spans="1:11" x14ac:dyDescent="0.35">
      <c r="A206" s="950"/>
      <c r="B206" s="958"/>
      <c r="C206" s="958"/>
      <c r="D206" s="950"/>
      <c r="E206" s="235" t="s">
        <v>1531</v>
      </c>
      <c r="F206" s="1143">
        <v>0.75952509818431246</v>
      </c>
      <c r="G206" s="1147" t="s">
        <v>1323</v>
      </c>
      <c r="H206" s="577"/>
      <c r="I206" s="577"/>
      <c r="J206" s="577"/>
      <c r="K206" s="1101"/>
    </row>
    <row r="207" spans="1:11" x14ac:dyDescent="0.35">
      <c r="A207" s="950"/>
      <c r="B207" s="958"/>
      <c r="C207" s="958"/>
      <c r="D207" s="950"/>
      <c r="E207" s="235" t="s">
        <v>1532</v>
      </c>
      <c r="F207" s="1143">
        <v>0.75952509818431235</v>
      </c>
      <c r="G207" s="1147" t="s">
        <v>1287</v>
      </c>
      <c r="H207" s="577"/>
      <c r="I207" s="577"/>
      <c r="J207" s="577"/>
      <c r="K207" s="1101"/>
    </row>
    <row r="208" spans="1:11" x14ac:dyDescent="0.35">
      <c r="A208" s="950"/>
      <c r="B208" s="958"/>
      <c r="C208" s="958"/>
      <c r="D208" s="950"/>
      <c r="E208" s="235" t="s">
        <v>1533</v>
      </c>
      <c r="F208" s="1143">
        <v>0.75952509818431257</v>
      </c>
      <c r="G208" s="1147"/>
      <c r="H208" s="577"/>
      <c r="I208" s="577"/>
      <c r="J208" s="577"/>
      <c r="K208" s="1101"/>
    </row>
    <row r="209" spans="1:11" x14ac:dyDescent="0.35">
      <c r="A209" s="950"/>
      <c r="B209" s="958"/>
      <c r="C209" s="958"/>
      <c r="D209" s="950"/>
      <c r="E209" s="235" t="s">
        <v>1534</v>
      </c>
      <c r="F209" s="1143">
        <v>0</v>
      </c>
      <c r="G209" s="1039"/>
      <c r="H209" s="577"/>
      <c r="I209" s="577"/>
      <c r="J209" s="577"/>
      <c r="K209" s="1101"/>
    </row>
    <row r="210" spans="1:11" x14ac:dyDescent="0.35">
      <c r="A210" s="950"/>
      <c r="B210" s="958"/>
      <c r="C210" s="958"/>
      <c r="D210" s="950"/>
      <c r="E210" s="235" t="s">
        <v>1535</v>
      </c>
      <c r="F210" s="1143">
        <v>0.75952509818431246</v>
      </c>
      <c r="G210" s="1147" t="s">
        <v>1323</v>
      </c>
      <c r="H210" s="577"/>
      <c r="I210" s="577"/>
      <c r="J210" s="577"/>
      <c r="K210" s="1101"/>
    </row>
    <row r="211" spans="1:11" x14ac:dyDescent="0.35">
      <c r="A211" s="950"/>
      <c r="B211" s="958"/>
      <c r="C211" s="958"/>
      <c r="D211" s="950"/>
      <c r="E211" s="235" t="s">
        <v>1536</v>
      </c>
      <c r="F211" s="1143">
        <v>0.75952509818431269</v>
      </c>
      <c r="G211" s="1147" t="s">
        <v>1325</v>
      </c>
      <c r="H211" s="577"/>
      <c r="I211" s="577"/>
      <c r="J211" s="577"/>
      <c r="K211" s="1101"/>
    </row>
    <row r="212" spans="1:11" x14ac:dyDescent="0.35">
      <c r="A212" s="950"/>
      <c r="B212" s="958"/>
      <c r="C212" s="958"/>
      <c r="D212" s="950"/>
      <c r="E212" s="235" t="s">
        <v>1537</v>
      </c>
      <c r="F212" s="1143">
        <v>0.75952509818431224</v>
      </c>
      <c r="G212" s="1147" t="s">
        <v>1323</v>
      </c>
      <c r="H212" s="577"/>
      <c r="I212" s="577"/>
      <c r="J212" s="577"/>
      <c r="K212" s="1101"/>
    </row>
    <row r="213" spans="1:11" x14ac:dyDescent="0.35">
      <c r="A213" s="950"/>
      <c r="B213" s="958"/>
      <c r="C213" s="958"/>
      <c r="D213" s="950"/>
      <c r="E213" s="235" t="s">
        <v>1538</v>
      </c>
      <c r="F213" s="1143">
        <v>0.75952509818431269</v>
      </c>
      <c r="G213" s="1147" t="s">
        <v>1321</v>
      </c>
      <c r="H213" s="577"/>
      <c r="I213" s="577"/>
      <c r="J213" s="577"/>
      <c r="K213" s="1101"/>
    </row>
    <row r="214" spans="1:11" x14ac:dyDescent="0.35">
      <c r="A214" s="950"/>
      <c r="B214" s="958"/>
      <c r="C214" s="958"/>
      <c r="D214" s="950"/>
      <c r="E214" s="235" t="s">
        <v>1539</v>
      </c>
      <c r="F214" s="1143">
        <v>0.75952509818431246</v>
      </c>
      <c r="G214" s="1147" t="s">
        <v>1291</v>
      </c>
      <c r="H214" s="577"/>
      <c r="I214" s="577"/>
      <c r="J214" s="577"/>
      <c r="K214" s="1101"/>
    </row>
    <row r="215" spans="1:11" x14ac:dyDescent="0.35">
      <c r="A215" s="950"/>
      <c r="B215" s="958"/>
      <c r="C215" s="958"/>
      <c r="D215" s="950"/>
      <c r="E215" s="235" t="s">
        <v>1540</v>
      </c>
      <c r="F215" s="1143">
        <v>0.94825062021979567</v>
      </c>
      <c r="G215" s="1147" t="s">
        <v>1319</v>
      </c>
      <c r="H215" s="577" t="s">
        <v>1354</v>
      </c>
      <c r="I215" s="577"/>
      <c r="J215" s="577"/>
      <c r="K215" s="1101"/>
    </row>
    <row r="216" spans="1:11" x14ac:dyDescent="0.35">
      <c r="A216" s="950"/>
      <c r="B216" s="958"/>
      <c r="C216" s="958"/>
      <c r="D216" s="950"/>
      <c r="E216" s="235" t="s">
        <v>1541</v>
      </c>
      <c r="F216" s="1143">
        <v>0.94825062021979512</v>
      </c>
      <c r="G216" s="1147" t="s">
        <v>1319</v>
      </c>
      <c r="H216" s="959" t="s">
        <v>1354</v>
      </c>
      <c r="I216" s="577"/>
      <c r="J216" s="577"/>
      <c r="K216" s="1101"/>
    </row>
    <row r="217" spans="1:11" x14ac:dyDescent="0.35">
      <c r="A217" s="950"/>
      <c r="B217" s="958"/>
      <c r="C217" s="958"/>
      <c r="D217" s="950"/>
      <c r="E217" s="235" t="s">
        <v>1542</v>
      </c>
      <c r="F217" s="1143">
        <v>0.94825062021979556</v>
      </c>
      <c r="G217" s="1147" t="s">
        <v>1319</v>
      </c>
      <c r="H217" s="959" t="s">
        <v>1354</v>
      </c>
      <c r="I217" s="577"/>
      <c r="J217" s="577"/>
      <c r="K217" s="1101"/>
    </row>
    <row r="218" spans="1:11" x14ac:dyDescent="0.35">
      <c r="A218" s="950"/>
      <c r="B218" s="958"/>
      <c r="C218" s="958"/>
      <c r="D218" s="950"/>
      <c r="E218" s="235" t="s">
        <v>1543</v>
      </c>
      <c r="F218" s="1143">
        <v>1.6022582783165209</v>
      </c>
      <c r="G218" s="1147"/>
      <c r="H218" s="959"/>
      <c r="I218" s="577"/>
      <c r="J218" s="577"/>
      <c r="K218" s="1101"/>
    </row>
    <row r="219" spans="1:11" x14ac:dyDescent="0.35">
      <c r="A219" s="950"/>
      <c r="B219" s="958"/>
      <c r="C219" s="958"/>
      <c r="D219" s="950"/>
      <c r="E219" s="235" t="s">
        <v>1544</v>
      </c>
      <c r="F219" s="1143">
        <v>0.99885923632553786</v>
      </c>
      <c r="G219" s="1039"/>
      <c r="H219" s="577"/>
      <c r="I219" s="577"/>
      <c r="J219" s="577"/>
      <c r="K219" s="1101"/>
    </row>
    <row r="220" spans="1:11" x14ac:dyDescent="0.35">
      <c r="A220" s="950"/>
      <c r="B220" s="958"/>
      <c r="C220" s="958"/>
      <c r="D220" s="950"/>
      <c r="E220" s="235" t="s">
        <v>1545</v>
      </c>
      <c r="F220" s="1143">
        <v>0.99885923632553786</v>
      </c>
      <c r="G220" s="1039"/>
      <c r="H220" s="577"/>
      <c r="I220" s="577"/>
      <c r="J220" s="577"/>
      <c r="K220" s="1101"/>
    </row>
    <row r="221" spans="1:11" x14ac:dyDescent="0.35">
      <c r="A221" s="950"/>
      <c r="B221" s="958"/>
      <c r="C221" s="958"/>
      <c r="D221" s="950"/>
      <c r="E221" s="235" t="s">
        <v>1546</v>
      </c>
      <c r="F221" s="1143">
        <v>2.9935572525514639E-2</v>
      </c>
      <c r="G221" s="1039"/>
      <c r="H221" s="577"/>
      <c r="I221" s="577"/>
      <c r="J221" s="577"/>
      <c r="K221" s="1101"/>
    </row>
    <row r="222" spans="1:11" x14ac:dyDescent="0.35">
      <c r="A222" s="950"/>
      <c r="B222" s="958"/>
      <c r="C222" s="958"/>
      <c r="D222" s="950"/>
      <c r="E222" s="235" t="s">
        <v>1547</v>
      </c>
      <c r="F222" s="1143">
        <v>0.9988592363255383</v>
      </c>
      <c r="G222" s="1039"/>
      <c r="H222" s="577"/>
      <c r="I222" s="577"/>
      <c r="J222" s="577"/>
      <c r="K222" s="1101"/>
    </row>
    <row r="223" spans="1:11" x14ac:dyDescent="0.35">
      <c r="A223" s="950"/>
      <c r="B223" s="958"/>
      <c r="C223" s="958"/>
      <c r="D223" s="950"/>
      <c r="E223" s="235" t="s">
        <v>1548</v>
      </c>
      <c r="F223" s="1143">
        <v>0.99885923632553797</v>
      </c>
      <c r="G223" s="1039" t="s">
        <v>1360</v>
      </c>
      <c r="H223" s="577"/>
      <c r="I223" s="577"/>
      <c r="J223" s="577"/>
      <c r="K223" s="1101"/>
    </row>
    <row r="224" spans="1:11" x14ac:dyDescent="0.35">
      <c r="A224" s="950"/>
      <c r="B224" s="958"/>
      <c r="C224" s="958"/>
      <c r="D224" s="950"/>
      <c r="E224" s="235" t="s">
        <v>1549</v>
      </c>
      <c r="F224" s="1143">
        <v>0.99885923632553808</v>
      </c>
      <c r="G224" s="1147"/>
      <c r="H224" s="577"/>
      <c r="I224" s="577"/>
      <c r="J224" s="577"/>
      <c r="K224" s="1101"/>
    </row>
    <row r="225" spans="1:11" x14ac:dyDescent="0.35">
      <c r="A225" s="950"/>
      <c r="B225" s="958"/>
      <c r="C225" s="958"/>
      <c r="D225" s="950"/>
      <c r="E225" s="235" t="s">
        <v>1550</v>
      </c>
      <c r="F225" s="1143">
        <v>0</v>
      </c>
      <c r="G225" s="1039"/>
      <c r="H225" s="577"/>
      <c r="I225" s="577"/>
      <c r="J225" s="577"/>
      <c r="K225" s="1101"/>
    </row>
    <row r="226" spans="1:11" x14ac:dyDescent="0.35">
      <c r="A226" s="950"/>
      <c r="B226" s="958"/>
      <c r="C226" s="958"/>
      <c r="D226" s="950"/>
      <c r="E226" s="235" t="s">
        <v>1551</v>
      </c>
      <c r="F226" s="1143">
        <v>0.43211593430362372</v>
      </c>
      <c r="G226" s="1039" t="s">
        <v>1312</v>
      </c>
      <c r="H226" s="577"/>
      <c r="I226" s="577"/>
      <c r="J226" s="577"/>
      <c r="K226" s="1101"/>
    </row>
    <row r="227" spans="1:11" x14ac:dyDescent="0.35">
      <c r="A227" s="950"/>
      <c r="B227" s="958"/>
      <c r="C227" s="958"/>
      <c r="D227" s="950"/>
      <c r="E227" s="235" t="s">
        <v>1552</v>
      </c>
      <c r="F227" s="1143">
        <v>1.502246531857677</v>
      </c>
      <c r="G227" s="1039" t="s">
        <v>1293</v>
      </c>
      <c r="H227" s="577"/>
      <c r="I227" s="577"/>
      <c r="J227" s="577"/>
      <c r="K227" s="1101"/>
    </row>
    <row r="228" spans="1:11" x14ac:dyDescent="0.35">
      <c r="A228" s="950"/>
      <c r="B228" s="958"/>
      <c r="C228" s="958"/>
      <c r="D228" s="950"/>
      <c r="E228" s="235" t="s">
        <v>1553</v>
      </c>
      <c r="F228" s="1143">
        <v>1.502246531857677</v>
      </c>
      <c r="G228" s="1147"/>
      <c r="H228" s="577"/>
      <c r="I228" s="577"/>
      <c r="J228" s="577"/>
      <c r="K228" s="1101"/>
    </row>
    <row r="229" spans="1:11" x14ac:dyDescent="0.35">
      <c r="A229" s="950"/>
      <c r="B229" s="958"/>
      <c r="C229" s="958"/>
      <c r="D229" s="950"/>
      <c r="E229" s="235" t="s">
        <v>1554</v>
      </c>
      <c r="F229" s="1143">
        <v>0.43211593430362372</v>
      </c>
      <c r="G229" s="1039" t="s">
        <v>1368</v>
      </c>
      <c r="H229" s="577" t="s">
        <v>1370</v>
      </c>
      <c r="I229" s="577"/>
      <c r="J229" s="577"/>
      <c r="K229" s="1101"/>
    </row>
    <row r="230" spans="1:11" x14ac:dyDescent="0.35">
      <c r="A230" s="950"/>
      <c r="B230" s="958"/>
      <c r="C230" s="958"/>
      <c r="D230" s="950"/>
      <c r="E230" s="235" t="s">
        <v>1555</v>
      </c>
      <c r="F230" s="1143">
        <v>0.41040912748731989</v>
      </c>
      <c r="G230" s="1147"/>
      <c r="H230" s="959"/>
      <c r="I230" s="577"/>
      <c r="J230" s="577"/>
      <c r="K230" s="1101"/>
    </row>
    <row r="231" spans="1:11" x14ac:dyDescent="0.35">
      <c r="A231" s="950"/>
      <c r="B231" s="958"/>
      <c r="C231" s="958"/>
      <c r="D231" s="950"/>
      <c r="E231" s="235" t="s">
        <v>1556</v>
      </c>
      <c r="F231" s="1143">
        <v>1.1989486619262739</v>
      </c>
      <c r="G231" s="1039"/>
      <c r="H231" s="577"/>
      <c r="I231" s="577"/>
      <c r="J231" s="577"/>
      <c r="K231" s="1101"/>
    </row>
    <row r="232" spans="1:11" x14ac:dyDescent="0.35">
      <c r="A232" s="950"/>
      <c r="B232" s="958"/>
      <c r="C232" s="958"/>
      <c r="D232" s="950"/>
      <c r="E232" s="235" t="s">
        <v>1557</v>
      </c>
      <c r="F232" s="1143">
        <v>0.40643023144945761</v>
      </c>
      <c r="G232" s="1039"/>
      <c r="H232" s="577"/>
      <c r="I232" s="577"/>
      <c r="J232" s="577"/>
      <c r="K232" s="1101"/>
    </row>
    <row r="233" spans="1:11" x14ac:dyDescent="0.35">
      <c r="A233" s="950"/>
      <c r="B233" s="958"/>
      <c r="C233" s="958"/>
      <c r="D233" s="950"/>
      <c r="E233" s="235" t="s">
        <v>1558</v>
      </c>
      <c r="F233" s="1143">
        <v>0.40643023144945761</v>
      </c>
      <c r="G233" s="1039"/>
      <c r="H233" s="577"/>
      <c r="I233" s="577"/>
      <c r="J233" s="577"/>
      <c r="K233" s="1101"/>
    </row>
    <row r="234" spans="1:11" x14ac:dyDescent="0.35">
      <c r="A234" s="950"/>
      <c r="B234" s="958"/>
      <c r="C234" s="958"/>
      <c r="D234" s="950"/>
      <c r="E234" s="235" t="s">
        <v>1559</v>
      </c>
      <c r="F234" s="1143">
        <v>1.2463649125806779</v>
      </c>
      <c r="G234" s="1039" t="s">
        <v>1279</v>
      </c>
      <c r="H234" s="577"/>
      <c r="I234" s="577"/>
      <c r="J234" s="577"/>
      <c r="K234" s="1101"/>
    </row>
    <row r="235" spans="1:11" x14ac:dyDescent="0.35">
      <c r="A235" s="950"/>
      <c r="B235" s="958"/>
      <c r="C235" s="958"/>
      <c r="D235" s="950"/>
      <c r="E235" s="235" t="s">
        <v>1560</v>
      </c>
      <c r="F235" s="1143">
        <v>0.92040575725616003</v>
      </c>
      <c r="G235" s="1147" t="s">
        <v>1279</v>
      </c>
      <c r="H235" s="577"/>
      <c r="I235" s="577"/>
      <c r="J235" s="577"/>
      <c r="K235" s="1101"/>
    </row>
    <row r="236" spans="1:11" x14ac:dyDescent="0.35">
      <c r="A236" s="950"/>
      <c r="B236" s="958"/>
      <c r="C236" s="958"/>
      <c r="D236" s="950"/>
      <c r="E236" s="235" t="s">
        <v>1561</v>
      </c>
      <c r="F236" s="1143">
        <v>0.5736585779038057</v>
      </c>
      <c r="G236" s="1147" t="s">
        <v>1279</v>
      </c>
      <c r="H236" s="577"/>
      <c r="I236" s="577"/>
      <c r="J236" s="577"/>
      <c r="K236" s="1101"/>
    </row>
    <row r="237" spans="1:11" x14ac:dyDescent="0.35">
      <c r="A237" s="950"/>
      <c r="B237" s="958"/>
      <c r="C237" s="958"/>
      <c r="D237" s="950"/>
      <c r="E237" s="235" t="s">
        <v>1562</v>
      </c>
      <c r="F237" s="1143">
        <v>0.1508424096976356</v>
      </c>
      <c r="G237" s="1147"/>
      <c r="H237" s="577"/>
      <c r="I237" s="577"/>
      <c r="J237" s="577"/>
      <c r="K237" s="1101"/>
    </row>
    <row r="238" spans="1:11" x14ac:dyDescent="0.35">
      <c r="A238" s="950"/>
      <c r="B238" s="958"/>
      <c r="C238" s="958"/>
      <c r="D238" s="950"/>
      <c r="E238" s="235" t="s">
        <v>1563</v>
      </c>
      <c r="F238" s="1143">
        <v>0.15084240969763549</v>
      </c>
      <c r="G238" s="1039"/>
      <c r="H238" s="577"/>
      <c r="I238" s="577"/>
      <c r="J238" s="577"/>
      <c r="K238" s="1101"/>
    </row>
    <row r="239" spans="1:11" x14ac:dyDescent="0.35">
      <c r="A239" s="950"/>
      <c r="B239" s="958"/>
      <c r="C239" s="958"/>
      <c r="D239" s="950"/>
      <c r="E239" s="235" t="s">
        <v>1564</v>
      </c>
      <c r="F239" s="1143">
        <v>0.1508424096976356</v>
      </c>
      <c r="G239" s="1039"/>
      <c r="H239" s="577"/>
      <c r="I239" s="577"/>
      <c r="J239" s="577"/>
      <c r="K239" s="1101"/>
    </row>
    <row r="240" spans="1:11" x14ac:dyDescent="0.35">
      <c r="A240" s="950"/>
      <c r="B240" s="958"/>
      <c r="C240" s="958"/>
      <c r="D240" s="950"/>
      <c r="E240" s="235" t="s">
        <v>1565</v>
      </c>
      <c r="F240" s="1143">
        <v>0.1508424096976356</v>
      </c>
      <c r="G240" s="1039"/>
      <c r="H240" s="577"/>
      <c r="I240" s="577"/>
      <c r="J240" s="577"/>
      <c r="K240" s="1101"/>
    </row>
    <row r="241" spans="1:11" x14ac:dyDescent="0.35">
      <c r="A241" s="950"/>
      <c r="B241" s="958"/>
      <c r="C241" s="958"/>
      <c r="D241" s="950"/>
      <c r="E241" s="235" t="s">
        <v>1566</v>
      </c>
      <c r="F241" s="1143">
        <v>0.1508424096976356</v>
      </c>
      <c r="G241" s="1039"/>
      <c r="H241" s="577"/>
      <c r="I241" s="577"/>
      <c r="J241" s="577"/>
      <c r="K241" s="1101"/>
    </row>
    <row r="242" spans="1:11" x14ac:dyDescent="0.35">
      <c r="A242" s="950"/>
      <c r="B242" s="958"/>
      <c r="C242" s="958"/>
      <c r="D242" s="950"/>
      <c r="E242" s="235" t="s">
        <v>1567</v>
      </c>
      <c r="F242" s="1143">
        <v>0.24093118587765469</v>
      </c>
      <c r="G242" s="1039"/>
      <c r="H242" s="577"/>
      <c r="I242" s="577"/>
      <c r="J242" s="577"/>
      <c r="K242" s="1101"/>
    </row>
    <row r="243" spans="1:11" x14ac:dyDescent="0.35">
      <c r="A243" s="950"/>
      <c r="B243" s="958"/>
      <c r="C243" s="958"/>
      <c r="D243" s="950"/>
      <c r="E243" s="235" t="s">
        <v>1568</v>
      </c>
      <c r="F243" s="1143">
        <v>0.24093118587765469</v>
      </c>
      <c r="G243" s="1039"/>
      <c r="H243" s="577"/>
      <c r="I243" s="577"/>
      <c r="J243" s="577"/>
      <c r="K243" s="1101"/>
    </row>
    <row r="244" spans="1:11" x14ac:dyDescent="0.35">
      <c r="A244" s="950"/>
      <c r="B244" s="958"/>
      <c r="C244" s="958"/>
      <c r="D244" s="950"/>
      <c r="E244" s="235" t="s">
        <v>1569</v>
      </c>
      <c r="F244" s="1143">
        <v>0.24093118587765469</v>
      </c>
      <c r="G244" s="1039"/>
      <c r="H244" s="577"/>
      <c r="I244" s="577"/>
      <c r="J244" s="577"/>
      <c r="K244" s="1101"/>
    </row>
    <row r="245" spans="1:11" x14ac:dyDescent="0.35">
      <c r="A245" s="950"/>
      <c r="B245" s="958"/>
      <c r="C245" s="958"/>
      <c r="D245" s="950"/>
      <c r="E245" s="235" t="s">
        <v>1570</v>
      </c>
      <c r="F245" s="1143">
        <v>0.24093118587765469</v>
      </c>
      <c r="G245" s="1039"/>
      <c r="H245" s="577"/>
      <c r="I245" s="577"/>
      <c r="J245" s="577"/>
      <c r="K245" s="1101"/>
    </row>
    <row r="246" spans="1:11" x14ac:dyDescent="0.35">
      <c r="A246" s="950"/>
      <c r="B246" s="958"/>
      <c r="C246" s="958"/>
      <c r="D246" s="950"/>
      <c r="E246" s="235" t="s">
        <v>1571</v>
      </c>
      <c r="F246" s="1143">
        <v>0.24093118587765469</v>
      </c>
      <c r="G246" s="1039"/>
      <c r="H246" s="577"/>
      <c r="I246" s="577"/>
      <c r="J246" s="577"/>
      <c r="K246" s="1101"/>
    </row>
    <row r="247" spans="1:11" x14ac:dyDescent="0.35">
      <c r="A247" s="950"/>
      <c r="B247" s="958"/>
      <c r="C247" s="958"/>
      <c r="D247" s="950"/>
      <c r="E247" s="235" t="s">
        <v>1572</v>
      </c>
      <c r="F247" s="1143">
        <v>0.24093118587765469</v>
      </c>
      <c r="G247" s="1039"/>
      <c r="H247" s="577"/>
      <c r="I247" s="577"/>
      <c r="J247" s="577"/>
      <c r="K247" s="1101"/>
    </row>
    <row r="248" spans="1:11" x14ac:dyDescent="0.35">
      <c r="A248" s="950"/>
      <c r="B248" s="958"/>
      <c r="C248" s="958"/>
      <c r="D248" s="950"/>
      <c r="E248" s="235" t="s">
        <v>1573</v>
      </c>
      <c r="F248" s="1143">
        <v>0.24093118587765469</v>
      </c>
      <c r="G248" s="1039"/>
      <c r="H248" s="577"/>
      <c r="I248" s="577"/>
      <c r="J248" s="577"/>
      <c r="K248" s="1101"/>
    </row>
    <row r="249" spans="1:11" x14ac:dyDescent="0.35">
      <c r="A249" s="950"/>
      <c r="B249" s="958"/>
      <c r="C249" s="958"/>
      <c r="D249" s="950"/>
      <c r="E249" s="235" t="s">
        <v>1574</v>
      </c>
      <c r="F249" s="1143">
        <v>0.24093118587765469</v>
      </c>
      <c r="G249" s="1039"/>
      <c r="H249" s="577"/>
      <c r="I249" s="577"/>
      <c r="J249" s="577"/>
      <c r="K249" s="1101"/>
    </row>
    <row r="250" spans="1:11" x14ac:dyDescent="0.35">
      <c r="A250" s="950"/>
      <c r="B250" s="958"/>
      <c r="C250" s="958"/>
      <c r="D250" s="950"/>
      <c r="E250" s="235" t="s">
        <v>1575</v>
      </c>
      <c r="F250" s="1143">
        <v>0.24093118587765469</v>
      </c>
      <c r="G250" s="1039"/>
      <c r="H250" s="577"/>
      <c r="I250" s="577"/>
      <c r="J250" s="577"/>
      <c r="K250" s="1101"/>
    </row>
    <row r="251" spans="1:11" x14ac:dyDescent="0.35">
      <c r="A251" s="950"/>
      <c r="B251" s="958"/>
      <c r="C251" s="958"/>
      <c r="D251" s="950"/>
      <c r="E251" s="235" t="s">
        <v>1576</v>
      </c>
      <c r="F251" s="1143">
        <v>0.42287260851492042</v>
      </c>
      <c r="G251" s="1039"/>
      <c r="H251" s="577"/>
      <c r="I251" s="577"/>
      <c r="J251" s="577"/>
      <c r="K251" s="1101"/>
    </row>
    <row r="252" spans="1:11" x14ac:dyDescent="0.35">
      <c r="A252" s="950"/>
      <c r="B252" s="958"/>
      <c r="C252" s="958"/>
      <c r="D252" s="950"/>
      <c r="E252" s="235" t="s">
        <v>1577</v>
      </c>
      <c r="F252" s="1143">
        <v>0.4228726085149202</v>
      </c>
      <c r="G252" s="1039"/>
      <c r="H252" s="577"/>
      <c r="I252" s="577"/>
      <c r="J252" s="577"/>
      <c r="K252" s="1101"/>
    </row>
    <row r="253" spans="1:11" x14ac:dyDescent="0.35">
      <c r="A253" s="950"/>
      <c r="B253" s="958"/>
      <c r="C253" s="958"/>
      <c r="D253" s="950"/>
      <c r="E253" s="235" t="s">
        <v>1578</v>
      </c>
      <c r="F253" s="1143">
        <v>0.42287260851492042</v>
      </c>
      <c r="G253" s="1039"/>
      <c r="H253" s="577"/>
      <c r="I253" s="577"/>
      <c r="J253" s="577"/>
      <c r="K253" s="1101"/>
    </row>
    <row r="254" spans="1:11" x14ac:dyDescent="0.35">
      <c r="A254" s="950"/>
      <c r="B254" s="958"/>
      <c r="C254" s="958"/>
      <c r="D254" s="950"/>
      <c r="E254" s="235" t="s">
        <v>1579</v>
      </c>
      <c r="F254" s="1143">
        <v>4.5401216848894962E-2</v>
      </c>
      <c r="G254" s="1039" t="s">
        <v>1319</v>
      </c>
      <c r="H254" s="577"/>
      <c r="I254" s="577"/>
      <c r="J254" s="577"/>
      <c r="K254" s="1101"/>
    </row>
    <row r="255" spans="1:11" x14ac:dyDescent="0.35">
      <c r="A255" s="950"/>
      <c r="B255" s="958"/>
      <c r="C255" s="958"/>
      <c r="D255" s="950"/>
      <c r="E255" s="235" t="s">
        <v>1580</v>
      </c>
      <c r="F255" s="1143">
        <v>0.35105992810149023</v>
      </c>
      <c r="G255" s="1147"/>
      <c r="H255" s="577"/>
      <c r="I255" s="577"/>
      <c r="J255" s="577"/>
      <c r="K255" s="1101"/>
    </row>
    <row r="256" spans="1:11" x14ac:dyDescent="0.35">
      <c r="A256" s="950"/>
      <c r="B256" s="958"/>
      <c r="C256" s="958"/>
      <c r="D256" s="950"/>
      <c r="E256" s="235" t="s">
        <v>1581</v>
      </c>
      <c r="F256" s="1143">
        <v>0.35105992810149</v>
      </c>
      <c r="G256" s="1039"/>
      <c r="H256" s="577"/>
      <c r="I256" s="577"/>
      <c r="J256" s="577"/>
      <c r="K256" s="1101"/>
    </row>
    <row r="257" spans="1:11" x14ac:dyDescent="0.35">
      <c r="A257" s="950"/>
      <c r="B257" s="958"/>
      <c r="C257" s="958"/>
      <c r="D257" s="950"/>
      <c r="E257" s="235" t="s">
        <v>1582</v>
      </c>
      <c r="F257" s="1143">
        <v>0.35105992810149023</v>
      </c>
      <c r="G257" s="1039"/>
      <c r="H257" s="577"/>
      <c r="I257" s="577"/>
      <c r="J257" s="577"/>
      <c r="K257" s="1101"/>
    </row>
    <row r="258" spans="1:11" x14ac:dyDescent="0.35">
      <c r="A258" s="950"/>
      <c r="B258" s="958"/>
      <c r="C258" s="958"/>
      <c r="D258" s="950"/>
      <c r="E258" s="235" t="s">
        <v>1583</v>
      </c>
      <c r="F258" s="1143">
        <v>0.35105992810149012</v>
      </c>
      <c r="G258" s="1039"/>
      <c r="H258" s="577"/>
      <c r="I258" s="577"/>
      <c r="J258" s="577"/>
      <c r="K258" s="1101"/>
    </row>
    <row r="259" spans="1:11" x14ac:dyDescent="0.35">
      <c r="A259" s="950"/>
      <c r="B259" s="958"/>
      <c r="C259" s="958"/>
      <c r="D259" s="950"/>
      <c r="E259" s="235" t="s">
        <v>1584</v>
      </c>
      <c r="F259" s="1143">
        <v>0.18633843295564059</v>
      </c>
      <c r="G259" s="1039" t="s">
        <v>1358</v>
      </c>
      <c r="H259" s="577" t="s">
        <v>1348</v>
      </c>
      <c r="I259" s="577"/>
      <c r="J259" s="577"/>
      <c r="K259" s="1101"/>
    </row>
    <row r="260" spans="1:11" x14ac:dyDescent="0.35">
      <c r="A260" s="950"/>
      <c r="B260" s="958"/>
      <c r="C260" s="958"/>
      <c r="D260" s="950"/>
      <c r="E260" s="235" t="s">
        <v>1585</v>
      </c>
      <c r="F260" s="1143">
        <v>0.1863384329556407</v>
      </c>
      <c r="G260" s="1147" t="s">
        <v>1358</v>
      </c>
      <c r="H260" s="959" t="s">
        <v>1348</v>
      </c>
      <c r="I260" s="577"/>
      <c r="J260" s="577"/>
      <c r="K260" s="1101"/>
    </row>
    <row r="261" spans="1:11" x14ac:dyDescent="0.35">
      <c r="A261" s="950"/>
      <c r="B261" s="958"/>
      <c r="C261" s="958"/>
      <c r="D261" s="950"/>
      <c r="E261" s="235" t="s">
        <v>1586</v>
      </c>
      <c r="F261" s="1143">
        <v>0.18633843295564059</v>
      </c>
      <c r="G261" s="1147" t="s">
        <v>1358</v>
      </c>
      <c r="H261" s="959" t="s">
        <v>1348</v>
      </c>
      <c r="I261" s="577"/>
      <c r="J261" s="577"/>
      <c r="K261" s="1101"/>
    </row>
    <row r="262" spans="1:11" x14ac:dyDescent="0.35">
      <c r="A262" s="950"/>
      <c r="B262" s="958"/>
      <c r="C262" s="958"/>
      <c r="D262" s="950"/>
      <c r="E262" s="235" t="s">
        <v>1587</v>
      </c>
      <c r="F262" s="1143">
        <v>0.18633843295564059</v>
      </c>
      <c r="G262" s="1147" t="s">
        <v>1358</v>
      </c>
      <c r="H262" s="959" t="s">
        <v>1348</v>
      </c>
      <c r="I262" s="577"/>
      <c r="J262" s="577"/>
      <c r="K262" s="1101"/>
    </row>
    <row r="263" spans="1:11" x14ac:dyDescent="0.35">
      <c r="A263" s="950"/>
      <c r="B263" s="958"/>
      <c r="C263" s="958"/>
      <c r="D263" s="950"/>
      <c r="E263" s="235" t="s">
        <v>1588</v>
      </c>
      <c r="F263" s="1143">
        <v>0.18633843295564059</v>
      </c>
      <c r="G263" s="1147" t="s">
        <v>1327</v>
      </c>
      <c r="H263" s="959"/>
      <c r="I263" s="577"/>
      <c r="J263" s="577"/>
      <c r="K263" s="1101"/>
    </row>
    <row r="264" spans="1:11" x14ac:dyDescent="0.35">
      <c r="A264" s="950"/>
      <c r="B264" s="958"/>
      <c r="C264" s="958"/>
      <c r="D264" s="950"/>
      <c r="E264" s="235" t="s">
        <v>1589</v>
      </c>
      <c r="F264" s="1143">
        <v>0.29706134088420871</v>
      </c>
      <c r="G264" s="1147"/>
      <c r="H264" s="577"/>
      <c r="I264" s="577"/>
      <c r="J264" s="577"/>
      <c r="K264" s="1101"/>
    </row>
    <row r="265" spans="1:11" x14ac:dyDescent="0.35">
      <c r="A265" s="950"/>
      <c r="B265" s="958"/>
      <c r="C265" s="958"/>
      <c r="D265" s="950"/>
      <c r="E265" s="235" t="s">
        <v>1590</v>
      </c>
      <c r="F265" s="1143">
        <v>0.29706134088420871</v>
      </c>
      <c r="G265" s="1039"/>
      <c r="H265" s="577"/>
      <c r="I265" s="577"/>
      <c r="J265" s="577"/>
      <c r="K265" s="1101"/>
    </row>
    <row r="266" spans="1:11" x14ac:dyDescent="0.35">
      <c r="A266" s="950"/>
      <c r="B266" s="958"/>
      <c r="C266" s="958"/>
      <c r="D266" s="950"/>
      <c r="E266" s="235" t="s">
        <v>1591</v>
      </c>
      <c r="F266" s="1143">
        <v>0.43041152606225591</v>
      </c>
      <c r="G266" s="1039"/>
      <c r="H266" s="577"/>
      <c r="I266" s="577"/>
      <c r="J266" s="577"/>
      <c r="K266" s="1101"/>
    </row>
    <row r="267" spans="1:11" x14ac:dyDescent="0.35">
      <c r="A267" s="950"/>
      <c r="B267" s="958"/>
      <c r="C267" s="958"/>
      <c r="D267" s="950"/>
      <c r="E267" s="235" t="s">
        <v>1592</v>
      </c>
      <c r="F267" s="1143">
        <v>0.43041152606225591</v>
      </c>
      <c r="G267" s="1039"/>
      <c r="H267" s="577"/>
      <c r="I267" s="577"/>
      <c r="J267" s="577"/>
      <c r="K267" s="1101"/>
    </row>
    <row r="268" spans="1:11" x14ac:dyDescent="0.35">
      <c r="A268" s="950"/>
      <c r="B268" s="958"/>
      <c r="C268" s="958"/>
      <c r="D268" s="950"/>
      <c r="E268" s="235" t="s">
        <v>1593</v>
      </c>
      <c r="F268" s="1143">
        <v>0.43041152606225591</v>
      </c>
      <c r="G268" s="1039"/>
      <c r="H268" s="577"/>
      <c r="I268" s="577"/>
      <c r="J268" s="577"/>
      <c r="K268" s="1101"/>
    </row>
    <row r="269" spans="1:11" x14ac:dyDescent="0.35">
      <c r="A269" s="950"/>
      <c r="B269" s="958"/>
      <c r="C269" s="958"/>
      <c r="D269" s="950"/>
      <c r="E269" s="235" t="s">
        <v>1594</v>
      </c>
      <c r="F269" s="1143">
        <v>0.4304115260622558</v>
      </c>
      <c r="G269" s="1039"/>
      <c r="H269" s="577"/>
      <c r="I269" s="577"/>
      <c r="J269" s="577"/>
      <c r="K269" s="1101"/>
    </row>
    <row r="270" spans="1:11" x14ac:dyDescent="0.35">
      <c r="A270" s="950"/>
      <c r="B270" s="958"/>
      <c r="C270" s="958"/>
      <c r="D270" s="950"/>
      <c r="E270" s="235" t="s">
        <v>1595</v>
      </c>
      <c r="F270" s="1143">
        <v>0.43041152606225602</v>
      </c>
      <c r="G270" s="1039"/>
      <c r="H270" s="577"/>
      <c r="I270" s="577"/>
      <c r="J270" s="577"/>
      <c r="K270" s="1101"/>
    </row>
    <row r="271" spans="1:11" x14ac:dyDescent="0.35">
      <c r="A271" s="950"/>
      <c r="B271" s="958"/>
      <c r="C271" s="958"/>
      <c r="D271" s="950"/>
      <c r="E271" s="235" t="s">
        <v>1596</v>
      </c>
      <c r="F271" s="1143">
        <v>0.43041152606225591</v>
      </c>
      <c r="G271" s="1039"/>
      <c r="H271" s="577"/>
      <c r="I271" s="577"/>
      <c r="J271" s="577"/>
      <c r="K271" s="1101"/>
    </row>
    <row r="272" spans="1:11" x14ac:dyDescent="0.35">
      <c r="A272" s="950"/>
      <c r="B272" s="958"/>
      <c r="C272" s="958"/>
      <c r="D272" s="950"/>
      <c r="E272" s="235" t="s">
        <v>1597</v>
      </c>
      <c r="F272" s="1143">
        <v>0.43041152606225569</v>
      </c>
      <c r="G272" s="1039"/>
      <c r="H272" s="577"/>
      <c r="I272" s="577"/>
      <c r="J272" s="577"/>
      <c r="K272" s="1101"/>
    </row>
    <row r="273" spans="1:11" x14ac:dyDescent="0.35">
      <c r="A273" s="950"/>
      <c r="B273" s="958"/>
      <c r="C273" s="958"/>
      <c r="D273" s="950"/>
      <c r="E273" s="235" t="s">
        <v>1598</v>
      </c>
      <c r="F273" s="1143">
        <v>0.43041152606225602</v>
      </c>
      <c r="G273" s="1039"/>
      <c r="H273" s="577"/>
      <c r="I273" s="577"/>
      <c r="J273" s="577"/>
      <c r="K273" s="1101"/>
    </row>
    <row r="274" spans="1:11" x14ac:dyDescent="0.35">
      <c r="A274" s="950"/>
      <c r="B274" s="958"/>
      <c r="C274" s="958"/>
      <c r="D274" s="950"/>
      <c r="E274" s="235" t="s">
        <v>1599</v>
      </c>
      <c r="F274" s="1143">
        <v>0.43041152606225591</v>
      </c>
      <c r="G274" s="1039"/>
      <c r="H274" s="577"/>
      <c r="I274" s="577"/>
      <c r="J274" s="577"/>
      <c r="K274" s="1101"/>
    </row>
    <row r="275" spans="1:11" x14ac:dyDescent="0.35">
      <c r="A275" s="950"/>
      <c r="B275" s="958"/>
      <c r="C275" s="958"/>
      <c r="D275" s="950"/>
      <c r="E275" s="235" t="s">
        <v>1600</v>
      </c>
      <c r="F275" s="1143">
        <v>0.43041152606225569</v>
      </c>
      <c r="G275" s="1039"/>
      <c r="H275" s="577"/>
      <c r="I275" s="577"/>
      <c r="J275" s="577"/>
      <c r="K275" s="1101"/>
    </row>
    <row r="276" spans="1:11" x14ac:dyDescent="0.35">
      <c r="A276" s="950"/>
      <c r="B276" s="958"/>
      <c r="C276" s="958"/>
      <c r="D276" s="950"/>
      <c r="E276" s="235" t="s">
        <v>1601</v>
      </c>
      <c r="F276" s="1143">
        <v>0.42533508457392211</v>
      </c>
      <c r="G276" s="1039"/>
      <c r="H276" s="577"/>
      <c r="I276" s="577"/>
      <c r="J276" s="577"/>
      <c r="K276" s="1101"/>
    </row>
    <row r="277" spans="1:11" x14ac:dyDescent="0.35">
      <c r="A277" s="950"/>
      <c r="B277" s="958"/>
      <c r="C277" s="958"/>
      <c r="D277" s="950"/>
      <c r="E277" s="235" t="s">
        <v>1602</v>
      </c>
      <c r="F277" s="1143">
        <v>0.42533508457392222</v>
      </c>
      <c r="G277" s="1039"/>
      <c r="H277" s="577"/>
      <c r="I277" s="577"/>
      <c r="J277" s="577"/>
      <c r="K277" s="1101"/>
    </row>
    <row r="278" spans="1:11" x14ac:dyDescent="0.35">
      <c r="A278" s="950"/>
      <c r="B278" s="958"/>
      <c r="C278" s="958"/>
      <c r="D278" s="950"/>
      <c r="E278" s="235" t="s">
        <v>1603</v>
      </c>
      <c r="F278" s="1143">
        <v>0.42533508457392238</v>
      </c>
      <c r="G278" s="1039"/>
      <c r="H278" s="577"/>
      <c r="I278" s="577"/>
      <c r="J278" s="577"/>
      <c r="K278" s="1101"/>
    </row>
    <row r="279" spans="1:11" x14ac:dyDescent="0.35">
      <c r="A279" s="950"/>
      <c r="B279" s="958"/>
      <c r="C279" s="958"/>
      <c r="D279" s="950"/>
      <c r="E279" s="235" t="s">
        <v>1604</v>
      </c>
      <c r="F279" s="1143">
        <v>0.31387545393743332</v>
      </c>
      <c r="G279" s="1039"/>
      <c r="H279" s="577"/>
      <c r="I279" s="577"/>
      <c r="J279" s="577"/>
      <c r="K279" s="1101"/>
    </row>
    <row r="280" spans="1:11" x14ac:dyDescent="0.35">
      <c r="A280" s="950"/>
      <c r="B280" s="958"/>
      <c r="C280" s="958"/>
      <c r="D280" s="950"/>
      <c r="E280" s="235" t="s">
        <v>1605</v>
      </c>
      <c r="F280" s="1143">
        <v>0.83111496012558339</v>
      </c>
      <c r="G280" s="1039"/>
      <c r="H280" s="577"/>
      <c r="I280" s="577"/>
      <c r="J280" s="577"/>
      <c r="K280" s="1101"/>
    </row>
    <row r="281" spans="1:11" x14ac:dyDescent="0.35">
      <c r="A281" s="950"/>
      <c r="B281" s="958"/>
      <c r="C281" s="958"/>
      <c r="D281" s="950"/>
      <c r="E281" s="235" t="s">
        <v>1606</v>
      </c>
      <c r="F281" s="1143">
        <v>0.12318668183651781</v>
      </c>
      <c r="G281" s="1039" t="s">
        <v>1281</v>
      </c>
      <c r="H281" s="577"/>
      <c r="I281" s="577"/>
      <c r="J281" s="577"/>
      <c r="K281" s="1101"/>
    </row>
    <row r="282" spans="1:11" x14ac:dyDescent="0.35">
      <c r="A282" s="950"/>
      <c r="B282" s="958"/>
      <c r="C282" s="958"/>
      <c r="D282" s="950"/>
      <c r="E282" s="235" t="s">
        <v>1607</v>
      </c>
      <c r="F282" s="1143">
        <v>0.12318668183651781</v>
      </c>
      <c r="G282" s="1147" t="s">
        <v>1281</v>
      </c>
      <c r="H282" s="577"/>
      <c r="I282" s="577"/>
      <c r="J282" s="577"/>
      <c r="K282" s="1101"/>
    </row>
    <row r="283" spans="1:11" x14ac:dyDescent="0.35">
      <c r="A283" s="950"/>
      <c r="B283" s="958"/>
      <c r="C283" s="958"/>
      <c r="D283" s="950"/>
      <c r="E283" s="235" t="s">
        <v>1608</v>
      </c>
      <c r="F283" s="1143">
        <v>0.12318668183651781</v>
      </c>
      <c r="G283" s="1147" t="s">
        <v>1281</v>
      </c>
      <c r="H283" s="577"/>
      <c r="I283" s="577"/>
      <c r="J283" s="577"/>
      <c r="K283" s="1101"/>
    </row>
    <row r="284" spans="1:11" x14ac:dyDescent="0.35">
      <c r="A284" s="950"/>
      <c r="B284" s="958"/>
      <c r="C284" s="958"/>
      <c r="D284" s="950"/>
      <c r="E284" s="235" t="s">
        <v>1609</v>
      </c>
      <c r="F284" s="1143">
        <v>0.12318668183651781</v>
      </c>
      <c r="G284" s="1147"/>
      <c r="H284" s="577"/>
      <c r="I284" s="577"/>
      <c r="J284" s="577"/>
      <c r="K284" s="1101"/>
    </row>
    <row r="285" spans="1:11" x14ac:dyDescent="0.35">
      <c r="A285" s="950"/>
      <c r="B285" s="958"/>
      <c r="C285" s="958"/>
      <c r="D285" s="950"/>
      <c r="E285" s="235" t="s">
        <v>1610</v>
      </c>
      <c r="F285" s="1143">
        <v>0.12318668183651781</v>
      </c>
      <c r="G285" s="1039"/>
      <c r="H285" s="577"/>
      <c r="I285" s="577"/>
      <c r="J285" s="577"/>
      <c r="K285" s="1101"/>
    </row>
    <row r="286" spans="1:11" x14ac:dyDescent="0.35">
      <c r="A286" s="950"/>
      <c r="B286" s="958"/>
      <c r="C286" s="958"/>
      <c r="D286" s="950"/>
      <c r="E286" s="235" t="s">
        <v>1611</v>
      </c>
      <c r="F286" s="1143">
        <v>0.12318668183651781</v>
      </c>
      <c r="G286" s="1039"/>
      <c r="H286" s="577"/>
      <c r="I286" s="577"/>
      <c r="J286" s="577"/>
      <c r="K286" s="1101"/>
    </row>
    <row r="287" spans="1:11" x14ac:dyDescent="0.35">
      <c r="A287" s="950"/>
      <c r="B287" s="958"/>
      <c r="C287" s="958"/>
      <c r="D287" s="950"/>
      <c r="E287" s="235" t="s">
        <v>1612</v>
      </c>
      <c r="F287" s="1143">
        <v>0.12318668183651781</v>
      </c>
      <c r="G287" s="1039"/>
      <c r="H287" s="577"/>
      <c r="I287" s="577"/>
      <c r="J287" s="577"/>
      <c r="K287" s="1101"/>
    </row>
    <row r="288" spans="1:11" x14ac:dyDescent="0.35">
      <c r="A288" s="950"/>
      <c r="B288" s="958"/>
      <c r="C288" s="958"/>
      <c r="D288" s="950"/>
      <c r="E288" s="235" t="s">
        <v>1613</v>
      </c>
      <c r="F288" s="1143">
        <v>0.33471467908171337</v>
      </c>
      <c r="G288" s="1039"/>
      <c r="H288" s="577"/>
      <c r="I288" s="577"/>
      <c r="J288" s="577"/>
      <c r="K288" s="1101"/>
    </row>
    <row r="289" spans="1:11" x14ac:dyDescent="0.35">
      <c r="A289" s="950"/>
      <c r="B289" s="958"/>
      <c r="C289" s="958"/>
      <c r="D289" s="950"/>
      <c r="E289" s="235" t="s">
        <v>1614</v>
      </c>
      <c r="F289" s="1143">
        <v>0.33471467908171337</v>
      </c>
      <c r="G289" s="1039"/>
      <c r="H289" s="577"/>
      <c r="I289" s="577"/>
      <c r="J289" s="577"/>
      <c r="K289" s="1101"/>
    </row>
    <row r="290" spans="1:11" x14ac:dyDescent="0.35">
      <c r="A290" s="950"/>
      <c r="B290" s="958"/>
      <c r="C290" s="958"/>
      <c r="D290" s="950"/>
      <c r="E290" s="235" t="s">
        <v>1615</v>
      </c>
      <c r="F290" s="1143">
        <v>0.33471467908171332</v>
      </c>
      <c r="G290" s="1039"/>
      <c r="H290" s="577"/>
      <c r="I290" s="577"/>
      <c r="J290" s="577"/>
      <c r="K290" s="1101"/>
    </row>
    <row r="291" spans="1:11" x14ac:dyDescent="0.35">
      <c r="A291" s="950"/>
      <c r="B291" s="958"/>
      <c r="C291" s="958"/>
      <c r="D291" s="950"/>
      <c r="E291" s="235" t="s">
        <v>1616</v>
      </c>
      <c r="F291" s="1143">
        <v>0.33471467908171332</v>
      </c>
      <c r="G291" s="1039"/>
      <c r="H291" s="577"/>
      <c r="I291" s="577"/>
      <c r="J291" s="577"/>
      <c r="K291" s="1101"/>
    </row>
    <row r="292" spans="1:11" x14ac:dyDescent="0.35">
      <c r="A292" s="950"/>
      <c r="B292" s="958"/>
      <c r="C292" s="958"/>
      <c r="D292" s="950"/>
      <c r="E292" s="235" t="s">
        <v>1617</v>
      </c>
      <c r="F292" s="1143">
        <v>0.33471467908171332</v>
      </c>
      <c r="G292" s="1039"/>
      <c r="H292" s="577"/>
      <c r="I292" s="577"/>
      <c r="J292" s="577"/>
      <c r="K292" s="1101"/>
    </row>
    <row r="293" spans="1:11" x14ac:dyDescent="0.35">
      <c r="A293" s="950"/>
      <c r="B293" s="958"/>
      <c r="C293" s="958"/>
      <c r="D293" s="950"/>
      <c r="E293" s="235" t="s">
        <v>1618</v>
      </c>
      <c r="F293" s="1143">
        <v>0.33471467908171332</v>
      </c>
      <c r="G293" s="1039"/>
      <c r="H293" s="577"/>
      <c r="I293" s="577"/>
      <c r="J293" s="577"/>
      <c r="K293" s="1101"/>
    </row>
    <row r="294" spans="1:11" x14ac:dyDescent="0.35">
      <c r="A294" s="950"/>
      <c r="B294" s="958"/>
      <c r="C294" s="958"/>
      <c r="D294" s="950"/>
      <c r="E294" s="235" t="s">
        <v>1619</v>
      </c>
      <c r="F294" s="1143">
        <v>0.43203338750127801</v>
      </c>
      <c r="G294" s="1039"/>
      <c r="H294" s="577"/>
      <c r="I294" s="577"/>
      <c r="J294" s="577"/>
      <c r="K294" s="1101"/>
    </row>
    <row r="295" spans="1:11" x14ac:dyDescent="0.35">
      <c r="A295" s="950"/>
      <c r="B295" s="958"/>
      <c r="C295" s="958"/>
      <c r="D295" s="950"/>
      <c r="E295" s="235" t="s">
        <v>1620</v>
      </c>
      <c r="F295" s="1143">
        <v>0.43203338750127812</v>
      </c>
      <c r="G295" s="1039"/>
      <c r="H295" s="577"/>
      <c r="I295" s="577"/>
      <c r="J295" s="577"/>
      <c r="K295" s="1101"/>
    </row>
    <row r="296" spans="1:11" x14ac:dyDescent="0.35">
      <c r="A296" s="950"/>
      <c r="B296" s="958"/>
      <c r="C296" s="958"/>
      <c r="D296" s="950"/>
      <c r="E296" s="235" t="s">
        <v>1621</v>
      </c>
      <c r="F296" s="1143">
        <v>0.43203338750127801</v>
      </c>
      <c r="G296" s="1039"/>
      <c r="H296" s="577"/>
      <c r="I296" s="577"/>
      <c r="J296" s="577"/>
      <c r="K296" s="1101"/>
    </row>
    <row r="297" spans="1:11" x14ac:dyDescent="0.35">
      <c r="A297" s="950"/>
      <c r="B297" s="958"/>
      <c r="C297" s="958"/>
      <c r="D297" s="950"/>
      <c r="E297" s="235" t="s">
        <v>1622</v>
      </c>
      <c r="F297" s="1143">
        <v>0.43203338750127812</v>
      </c>
      <c r="G297" s="1039"/>
      <c r="H297" s="577"/>
      <c r="I297" s="577"/>
      <c r="J297" s="577"/>
      <c r="K297" s="1101"/>
    </row>
    <row r="298" spans="1:11" x14ac:dyDescent="0.35">
      <c r="A298" s="950"/>
      <c r="B298" s="958"/>
      <c r="C298" s="958"/>
      <c r="D298" s="950"/>
      <c r="E298" s="235" t="s">
        <v>1623</v>
      </c>
      <c r="F298" s="1143">
        <v>0.14323947546733801</v>
      </c>
      <c r="G298" s="1039" t="s">
        <v>1389</v>
      </c>
      <c r="H298" s="577"/>
      <c r="I298" s="577"/>
      <c r="J298" s="577"/>
      <c r="K298" s="1101"/>
    </row>
    <row r="299" spans="1:11" x14ac:dyDescent="0.35">
      <c r="A299" s="950"/>
      <c r="B299" s="958"/>
      <c r="C299" s="958"/>
      <c r="D299" s="950"/>
      <c r="E299" s="235" t="s">
        <v>1624</v>
      </c>
      <c r="F299" s="1143">
        <v>0.14323947546733801</v>
      </c>
      <c r="G299" s="1039" t="s">
        <v>1389</v>
      </c>
      <c r="H299" s="577"/>
      <c r="I299" s="577"/>
      <c r="J299" s="577"/>
      <c r="K299" s="1101"/>
    </row>
    <row r="300" spans="1:11" x14ac:dyDescent="0.35">
      <c r="A300" s="950"/>
      <c r="B300" s="958"/>
      <c r="C300" s="958"/>
      <c r="D300" s="950"/>
      <c r="E300" s="235" t="s">
        <v>1625</v>
      </c>
      <c r="F300" s="1143">
        <v>0.14323947546733801</v>
      </c>
      <c r="G300" s="1039" t="s">
        <v>1389</v>
      </c>
      <c r="H300" s="577"/>
      <c r="I300" s="577"/>
      <c r="J300" s="577"/>
      <c r="K300" s="1101"/>
    </row>
    <row r="301" spans="1:11" x14ac:dyDescent="0.35">
      <c r="A301" s="950"/>
      <c r="B301" s="958"/>
      <c r="C301" s="958"/>
      <c r="D301" s="950"/>
      <c r="E301" s="235" t="s">
        <v>1626</v>
      </c>
      <c r="F301" s="1143">
        <v>0.14323947546733801</v>
      </c>
      <c r="G301" s="1039" t="s">
        <v>1389</v>
      </c>
      <c r="H301" s="577"/>
      <c r="I301" s="577"/>
      <c r="J301" s="577"/>
      <c r="K301" s="1101"/>
    </row>
    <row r="302" spans="1:11" x14ac:dyDescent="0.35">
      <c r="A302" s="950"/>
      <c r="B302" s="958"/>
      <c r="C302" s="958"/>
      <c r="D302" s="950"/>
      <c r="E302" s="235" t="s">
        <v>1627</v>
      </c>
      <c r="F302" s="1143">
        <v>0.14323947546733801</v>
      </c>
      <c r="G302" s="1039" t="s">
        <v>1381</v>
      </c>
      <c r="H302" s="577" t="s">
        <v>1389</v>
      </c>
      <c r="I302" s="577"/>
      <c r="J302" s="577"/>
      <c r="K302" s="1101"/>
    </row>
    <row r="303" spans="1:11" x14ac:dyDescent="0.35">
      <c r="A303" s="950"/>
      <c r="B303" s="958"/>
      <c r="C303" s="958"/>
      <c r="D303" s="950"/>
      <c r="E303" s="235" t="s">
        <v>1628</v>
      </c>
      <c r="F303" s="1143">
        <v>0.14323947546733801</v>
      </c>
      <c r="G303" s="1039" t="s">
        <v>1389</v>
      </c>
      <c r="H303" s="577"/>
      <c r="I303" s="577"/>
      <c r="J303" s="577"/>
      <c r="K303" s="1101"/>
    </row>
    <row r="304" spans="1:11" x14ac:dyDescent="0.35">
      <c r="A304" s="950"/>
      <c r="B304" s="958"/>
      <c r="C304" s="958"/>
      <c r="D304" s="950"/>
      <c r="E304" s="235" t="s">
        <v>1629</v>
      </c>
      <c r="F304" s="1143">
        <v>0.1432394754673379</v>
      </c>
      <c r="G304" s="1039" t="s">
        <v>1389</v>
      </c>
      <c r="H304" s="577"/>
      <c r="I304" s="577"/>
      <c r="J304" s="577"/>
      <c r="K304" s="1101"/>
    </row>
    <row r="305" spans="1:11" x14ac:dyDescent="0.35">
      <c r="A305" s="950"/>
      <c r="B305" s="958"/>
      <c r="C305" s="958"/>
      <c r="D305" s="950"/>
      <c r="E305" s="235" t="s">
        <v>1630</v>
      </c>
      <c r="F305" s="1143">
        <v>1.0710757679258869E-2</v>
      </c>
      <c r="G305" s="1039"/>
      <c r="H305" s="577"/>
      <c r="I305" s="577"/>
      <c r="J305" s="577"/>
      <c r="K305" s="1101"/>
    </row>
    <row r="306" spans="1:11" x14ac:dyDescent="0.35">
      <c r="A306" s="950"/>
      <c r="B306" s="958"/>
      <c r="C306" s="958"/>
      <c r="D306" s="950"/>
      <c r="E306" s="235" t="s">
        <v>1631</v>
      </c>
      <c r="F306" s="1143">
        <v>1.0710757679258869E-2</v>
      </c>
      <c r="G306" s="1039"/>
      <c r="H306" s="577"/>
      <c r="I306" s="577"/>
      <c r="J306" s="577"/>
      <c r="K306" s="1101"/>
    </row>
    <row r="307" spans="1:11" x14ac:dyDescent="0.35">
      <c r="A307" s="950"/>
      <c r="B307" s="958"/>
      <c r="C307" s="958"/>
      <c r="D307" s="950"/>
      <c r="E307" s="235" t="s">
        <v>1632</v>
      </c>
      <c r="F307" s="1143">
        <v>1.0710757679258869E-2</v>
      </c>
      <c r="G307" s="1039"/>
      <c r="H307" s="577"/>
      <c r="I307" s="577"/>
      <c r="J307" s="577"/>
      <c r="K307" s="1101"/>
    </row>
    <row r="308" spans="1:11" x14ac:dyDescent="0.35">
      <c r="A308" s="950"/>
      <c r="B308" s="958"/>
      <c r="C308" s="958"/>
      <c r="D308" s="950"/>
      <c r="E308" s="235" t="s">
        <v>1633</v>
      </c>
      <c r="F308" s="1143">
        <v>1.0710757679258869E-2</v>
      </c>
      <c r="G308" s="1039"/>
      <c r="H308" s="577"/>
      <c r="I308" s="577"/>
      <c r="J308" s="577"/>
      <c r="K308" s="1101"/>
    </row>
    <row r="309" spans="1:11" x14ac:dyDescent="0.35">
      <c r="A309" s="950"/>
      <c r="B309" s="958"/>
      <c r="C309" s="958"/>
      <c r="D309" s="950"/>
      <c r="E309" s="235" t="s">
        <v>1634</v>
      </c>
      <c r="F309" s="1143">
        <v>1.0710757679258869E-2</v>
      </c>
      <c r="G309" s="1039"/>
      <c r="H309" s="577"/>
      <c r="I309" s="577"/>
      <c r="J309" s="577"/>
      <c r="K309" s="1101"/>
    </row>
    <row r="310" spans="1:11" x14ac:dyDescent="0.35">
      <c r="A310" s="950"/>
      <c r="B310" s="958"/>
      <c r="C310" s="958"/>
      <c r="D310" s="950"/>
      <c r="E310" s="235" t="s">
        <v>1635</v>
      </c>
      <c r="F310" s="1143">
        <v>1.372447207543027E-3</v>
      </c>
      <c r="G310" s="1039" t="s">
        <v>1391</v>
      </c>
      <c r="H310" s="577"/>
      <c r="I310" s="577"/>
      <c r="J310" s="577"/>
      <c r="K310" s="1101"/>
    </row>
    <row r="311" spans="1:11" x14ac:dyDescent="0.35">
      <c r="A311" s="950"/>
      <c r="B311" s="958"/>
      <c r="C311" s="958"/>
      <c r="D311" s="950"/>
      <c r="E311" s="235" t="s">
        <v>1636</v>
      </c>
      <c r="F311" s="1143">
        <v>1.372447207543027E-3</v>
      </c>
      <c r="G311" s="1039" t="s">
        <v>1391</v>
      </c>
      <c r="H311" s="577"/>
      <c r="I311" s="577"/>
      <c r="J311" s="577"/>
      <c r="K311" s="1101"/>
    </row>
    <row r="312" spans="1:11" x14ac:dyDescent="0.35">
      <c r="A312" s="950"/>
      <c r="B312" s="958"/>
      <c r="C312" s="958"/>
      <c r="D312" s="950"/>
      <c r="E312" s="235" t="s">
        <v>1637</v>
      </c>
      <c r="F312" s="1143">
        <v>0</v>
      </c>
      <c r="G312" s="1039"/>
      <c r="H312" s="577"/>
      <c r="I312" s="577"/>
      <c r="J312" s="577"/>
      <c r="K312" s="1101"/>
    </row>
    <row r="313" spans="1:11" x14ac:dyDescent="0.35">
      <c r="A313" s="950"/>
      <c r="B313" s="958"/>
      <c r="C313" s="958"/>
      <c r="D313" s="950"/>
      <c r="E313" s="235" t="s">
        <v>1638</v>
      </c>
      <c r="F313" s="1143">
        <v>2.791651775178889</v>
      </c>
      <c r="G313" s="1039" t="s">
        <v>1387</v>
      </c>
      <c r="H313" s="577"/>
      <c r="I313" s="577"/>
      <c r="J313" s="577"/>
      <c r="K313" s="1101"/>
    </row>
    <row r="314" spans="1:11" x14ac:dyDescent="0.35">
      <c r="A314" s="950"/>
      <c r="B314" s="958"/>
      <c r="C314" s="958"/>
      <c r="D314" s="950"/>
      <c r="E314" s="235" t="s">
        <v>1639</v>
      </c>
      <c r="F314" s="1143">
        <v>2.7916517751788881</v>
      </c>
      <c r="G314" s="1039"/>
      <c r="H314" s="577"/>
      <c r="I314" s="577"/>
      <c r="J314" s="577"/>
      <c r="K314" s="1101"/>
    </row>
    <row r="315" spans="1:11" x14ac:dyDescent="0.35">
      <c r="A315" s="950"/>
      <c r="B315" s="958"/>
      <c r="C315" s="958"/>
      <c r="D315" s="950"/>
      <c r="E315" s="235" t="s">
        <v>1640</v>
      </c>
      <c r="F315" s="1143">
        <v>2.791651775178889</v>
      </c>
      <c r="G315" s="1039"/>
      <c r="H315" s="577"/>
      <c r="I315" s="577"/>
      <c r="J315" s="577"/>
      <c r="K315" s="1101"/>
    </row>
    <row r="316" spans="1:11" x14ac:dyDescent="0.35">
      <c r="A316" s="950"/>
      <c r="B316" s="958"/>
      <c r="C316" s="958"/>
      <c r="D316" s="950"/>
      <c r="E316" s="235" t="s">
        <v>1641</v>
      </c>
      <c r="F316" s="1143">
        <v>2.791651775178889</v>
      </c>
      <c r="G316" s="1039"/>
      <c r="H316" s="577"/>
      <c r="I316" s="577"/>
      <c r="J316" s="577"/>
      <c r="K316" s="1101"/>
    </row>
    <row r="317" spans="1:11" x14ac:dyDescent="0.35">
      <c r="A317" s="950"/>
      <c r="B317" s="958"/>
      <c r="C317" s="958"/>
      <c r="D317" s="950"/>
      <c r="E317" s="235" t="s">
        <v>1642</v>
      </c>
      <c r="F317" s="1143">
        <v>2.7916517751788872</v>
      </c>
      <c r="G317" s="1039"/>
      <c r="H317" s="577"/>
      <c r="I317" s="577"/>
      <c r="J317" s="577"/>
      <c r="K317" s="1101"/>
    </row>
    <row r="318" spans="1:11" x14ac:dyDescent="0.35">
      <c r="A318" s="950"/>
      <c r="B318" s="958"/>
      <c r="C318" s="958"/>
      <c r="D318" s="950"/>
      <c r="E318" s="235" t="s">
        <v>1643</v>
      </c>
      <c r="F318" s="1143">
        <v>9.1477096979477854E-2</v>
      </c>
      <c r="G318" s="1039"/>
      <c r="H318" s="577"/>
      <c r="I318" s="577"/>
      <c r="J318" s="577"/>
      <c r="K318" s="1101"/>
    </row>
    <row r="319" spans="1:11" x14ac:dyDescent="0.35">
      <c r="A319" s="950"/>
      <c r="B319" s="958"/>
      <c r="C319" s="958"/>
      <c r="D319" s="950"/>
      <c r="E319" s="235" t="s">
        <v>1644</v>
      </c>
      <c r="F319" s="1143">
        <v>0.13236477280385381</v>
      </c>
      <c r="G319" s="1039"/>
      <c r="H319" s="577"/>
      <c r="I319" s="577"/>
      <c r="J319" s="577"/>
      <c r="K319" s="1101"/>
    </row>
    <row r="320" spans="1:11" x14ac:dyDescent="0.35">
      <c r="A320" s="950"/>
      <c r="B320" s="958"/>
      <c r="C320" s="958"/>
      <c r="D320" s="950"/>
      <c r="E320" s="235" t="s">
        <v>1645</v>
      </c>
      <c r="F320" s="1143">
        <v>0.18516584146462431</v>
      </c>
      <c r="G320" s="1039"/>
      <c r="H320" s="577"/>
      <c r="I320" s="577"/>
      <c r="J320" s="577"/>
      <c r="K320" s="1101"/>
    </row>
    <row r="321" spans="1:11" x14ac:dyDescent="0.35">
      <c r="A321" s="950"/>
      <c r="B321" s="958"/>
      <c r="C321" s="958"/>
      <c r="D321" s="950"/>
      <c r="E321" s="235" t="s">
        <v>1646</v>
      </c>
      <c r="F321" s="1143">
        <v>0.2490642429411877</v>
      </c>
      <c r="G321" s="1039"/>
      <c r="H321" s="577"/>
      <c r="I321" s="577"/>
      <c r="J321" s="577"/>
      <c r="K321" s="1101"/>
    </row>
    <row r="322" spans="1:11" x14ac:dyDescent="0.35">
      <c r="A322" s="950"/>
      <c r="B322" s="958"/>
      <c r="C322" s="958"/>
      <c r="D322" s="950"/>
      <c r="E322" s="235" t="s">
        <v>1647</v>
      </c>
      <c r="F322" s="1143">
        <v>0.98526942586650501</v>
      </c>
      <c r="G322" s="1039"/>
      <c r="H322" s="577"/>
      <c r="I322" s="577"/>
      <c r="J322" s="577"/>
      <c r="K322" s="1101"/>
    </row>
    <row r="323" spans="1:11" x14ac:dyDescent="0.35">
      <c r="A323" s="950"/>
      <c r="B323" s="958"/>
      <c r="C323" s="958"/>
      <c r="D323" s="950"/>
      <c r="E323" s="235" t="s">
        <v>1648</v>
      </c>
      <c r="F323" s="1143">
        <v>0.39583174324727349</v>
      </c>
      <c r="G323" s="1039"/>
      <c r="H323" s="577"/>
      <c r="I323" s="577"/>
      <c r="J323" s="577"/>
      <c r="K323" s="1101"/>
    </row>
    <row r="324" spans="1:11" x14ac:dyDescent="0.35">
      <c r="A324" s="950"/>
      <c r="B324" s="958"/>
      <c r="C324" s="958"/>
      <c r="D324" s="950"/>
      <c r="E324" s="235" t="s">
        <v>1649</v>
      </c>
      <c r="F324" s="1143">
        <v>0.37391705034447897</v>
      </c>
      <c r="G324" s="235" t="s">
        <v>1295</v>
      </c>
      <c r="H324" s="158" t="s">
        <v>1393</v>
      </c>
      <c r="I324" s="158"/>
      <c r="J324" s="158"/>
      <c r="K324" s="262"/>
    </row>
    <row r="325" spans="1:11" ht="15" thickBot="1" x14ac:dyDescent="0.4">
      <c r="A325" s="950"/>
      <c r="B325" s="958"/>
      <c r="C325" s="958"/>
      <c r="E325" s="1140" t="s">
        <v>1649</v>
      </c>
      <c r="F325" s="1144">
        <v>0.37391705034447897</v>
      </c>
      <c r="G325" s="256" t="s">
        <v>1295</v>
      </c>
      <c r="H325" s="250"/>
      <c r="I325" s="250"/>
      <c r="J325" s="250"/>
      <c r="K325" s="1136"/>
    </row>
    <row r="326" spans="1:11" x14ac:dyDescent="0.35">
      <c r="A326" s="950"/>
      <c r="B326" s="958"/>
      <c r="C326" s="958"/>
    </row>
    <row r="327" spans="1:11" x14ac:dyDescent="0.35">
      <c r="A327" s="950"/>
      <c r="B327" s="958"/>
      <c r="C327" s="958"/>
    </row>
    <row r="328" spans="1:11" x14ac:dyDescent="0.35">
      <c r="A328" s="950"/>
      <c r="B328" s="958"/>
      <c r="C328" s="958"/>
    </row>
    <row r="329" spans="1:11" x14ac:dyDescent="0.35">
      <c r="A329" s="950"/>
      <c r="B329" s="958"/>
      <c r="C329" s="958"/>
    </row>
    <row r="330" spans="1:11" x14ac:dyDescent="0.35">
      <c r="A330" s="950"/>
      <c r="B330" s="958"/>
      <c r="C330" s="958"/>
    </row>
    <row r="331" spans="1:11" x14ac:dyDescent="0.35">
      <c r="A331" s="950"/>
      <c r="B331" s="958"/>
      <c r="C331" s="958"/>
    </row>
    <row r="332" spans="1:11" x14ac:dyDescent="0.35">
      <c r="A332" s="950"/>
      <c r="B332" s="958"/>
      <c r="C332" s="958"/>
    </row>
    <row r="333" spans="1:11" x14ac:dyDescent="0.35">
      <c r="A333" s="950"/>
      <c r="B333" s="958"/>
      <c r="C333" s="958"/>
    </row>
    <row r="334" spans="1:11" x14ac:dyDescent="0.35">
      <c r="A334" s="950"/>
      <c r="B334" s="958"/>
      <c r="C334" s="958"/>
    </row>
    <row r="335" spans="1:11" x14ac:dyDescent="0.35">
      <c r="A335" s="950"/>
      <c r="B335" s="958"/>
      <c r="C335" s="958"/>
    </row>
    <row r="336" spans="1:11" x14ac:dyDescent="0.35">
      <c r="A336" s="950"/>
      <c r="B336" s="958"/>
      <c r="C336" s="958"/>
    </row>
  </sheetData>
  <sheetProtection algorithmName="SHA-512" hashValue="92uy6YPH0l1GvoNee2ZnffQLOpHq53fNmAYxbXjqQOGhOxYse9XjYxbhOjz7P06MWG19SM9yRNzsql/s0hOx3w==" saltValue="cFo5rYqatIjvQnS85wJ4VA==" spinCount="100000" sheet="1" objects="1" scenarios="1"/>
  <protectedRanges>
    <protectedRange sqref="F6 A11:A20 A22:A123" name="Range2_1_1"/>
    <protectedRange sqref="G11:K324" name="Range2_99"/>
  </protectedRanges>
  <mergeCells count="2">
    <mergeCell ref="A1:C5"/>
    <mergeCell ref="A6:C8"/>
  </mergeCells>
  <conditionalFormatting sqref="G72:G115">
    <cfRule type="containsText" dxfId="10" priority="1" operator="containsText" text="Not yet mapped">
      <formula>NOT(ISERROR(SEARCH("Not yet mapped",G72)))</formula>
    </cfRule>
    <cfRule type="containsText" dxfId="9" priority="2" operator="containsText" text="High">
      <formula>NOT(ISERROR(SEARCH("High",G72)))</formula>
    </cfRule>
    <cfRule type="containsText" dxfId="8" priority="3" operator="containsText" text="Medium">
      <formula>NOT(ISERROR(SEARCH("Medium",G72)))</formula>
    </cfRule>
    <cfRule type="containsText" dxfId="7" priority="4" operator="containsText" text="Low">
      <formula>NOT(ISERROR(SEARCH("Low",G72)))</formula>
    </cfRule>
  </conditionalFormatting>
  <hyperlinks>
    <hyperlink ref="E2" r:id="rId1" xr:uid="{07C6513A-EA65-4381-8E18-ACA3EA3FBA3D}"/>
    <hyperlink ref="E1" r:id="rId2" xr:uid="{ABA950D5-017D-4A13-9C95-AFA493DFC509}"/>
    <hyperlink ref="E3" r:id="rId3" xr:uid="{1A7D337D-0E83-41AF-9EC1-DE671C030CC5}"/>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64711-E3AC-496D-B6B6-673ACC02AB5E}">
  <sheetPr codeName="Sheet17"/>
  <dimension ref="A1:FO379"/>
  <sheetViews>
    <sheetView zoomScale="60" zoomScaleNormal="60" workbookViewId="0">
      <selection activeCell="B3" sqref="B3:E4"/>
    </sheetView>
  </sheetViews>
  <sheetFormatPr defaultColWidth="8.81640625" defaultRowHeight="14.5" x14ac:dyDescent="0.35"/>
  <cols>
    <col min="1" max="1" width="15.54296875" bestFit="1" customWidth="1"/>
    <col min="2" max="2" width="39.81640625" bestFit="1" customWidth="1"/>
    <col min="3" max="3" width="22" bestFit="1" customWidth="1"/>
    <col min="4" max="4" width="91.54296875" bestFit="1" customWidth="1"/>
    <col min="5" max="8" width="32.26953125" bestFit="1" customWidth="1"/>
    <col min="10" max="10" width="17" bestFit="1" customWidth="1"/>
    <col min="11" max="11" width="56.26953125" bestFit="1" customWidth="1"/>
    <col min="12" max="12" width="16" bestFit="1" customWidth="1"/>
    <col min="13" max="16" width="32.7265625" bestFit="1" customWidth="1"/>
    <col min="18" max="18" width="9.54296875" bestFit="1" customWidth="1"/>
    <col min="19" max="19" width="34.54296875" bestFit="1" customWidth="1"/>
    <col min="20" max="20" width="8.54296875" bestFit="1" customWidth="1"/>
    <col min="21" max="21" width="27.1796875" bestFit="1" customWidth="1"/>
    <col min="22" max="22" width="9.81640625" bestFit="1" customWidth="1"/>
    <col min="23" max="23" width="10.26953125" bestFit="1" customWidth="1"/>
    <col min="24" max="24" width="9.1796875" customWidth="1"/>
    <col min="25" max="25" width="22.81640625" bestFit="1" customWidth="1"/>
    <col min="26" max="26" width="25.54296875" bestFit="1" customWidth="1"/>
    <col min="27" max="27" width="32.81640625" bestFit="1" customWidth="1"/>
    <col min="28" max="28" width="33" bestFit="1" customWidth="1"/>
    <col min="30" max="30" width="22.81640625" bestFit="1" customWidth="1"/>
    <col min="31" max="31" width="11.453125" bestFit="1" customWidth="1"/>
    <col min="32" max="32" width="8.54296875" bestFit="1" customWidth="1"/>
    <col min="33" max="33" width="11.1796875" bestFit="1" customWidth="1"/>
    <col min="34" max="34" width="9.26953125" bestFit="1" customWidth="1"/>
    <col min="35" max="35" width="15.81640625" bestFit="1" customWidth="1"/>
    <col min="36" max="36" width="9.1796875" customWidth="1"/>
    <col min="37" max="37" width="18.81640625" bestFit="1" customWidth="1"/>
    <col min="38" max="38" width="16.26953125" bestFit="1" customWidth="1"/>
    <col min="39" max="39" width="14.26953125" bestFit="1" customWidth="1"/>
    <col min="40" max="40" width="12.453125" customWidth="1"/>
    <col min="41" max="41" width="10.7265625" customWidth="1"/>
    <col min="42" max="42" width="37.453125" bestFit="1" customWidth="1"/>
    <col min="43" max="43" width="15" bestFit="1" customWidth="1"/>
    <col min="44" max="44" width="52.7265625" bestFit="1" customWidth="1"/>
    <col min="45" max="45" width="25.54296875" bestFit="1" customWidth="1"/>
    <col min="46" max="48" width="25.54296875" customWidth="1"/>
    <col min="49" max="49" width="9.1796875" customWidth="1"/>
    <col min="50" max="50" width="8.453125" bestFit="1" customWidth="1"/>
    <col min="51" max="51" width="30.81640625" bestFit="1" customWidth="1"/>
    <col min="52" max="52" width="20" bestFit="1" customWidth="1"/>
    <col min="53" max="53" width="15" bestFit="1" customWidth="1"/>
    <col min="54" max="56" width="10.26953125" bestFit="1" customWidth="1"/>
    <col min="57" max="57" width="9.81640625" bestFit="1" customWidth="1"/>
    <col min="59" max="59" width="8.453125" bestFit="1" customWidth="1"/>
    <col min="60" max="60" width="24.81640625" bestFit="1" customWidth="1"/>
    <col min="61" max="61" width="15" bestFit="1" customWidth="1"/>
    <col min="62" max="62" width="11.26953125" bestFit="1" customWidth="1"/>
    <col min="63" max="65" width="10.26953125" bestFit="1" customWidth="1"/>
    <col min="67" max="67" width="13.81640625" bestFit="1" customWidth="1"/>
    <col min="68" max="68" width="19.453125" bestFit="1" customWidth="1"/>
    <col min="69" max="69" width="15" bestFit="1" customWidth="1"/>
    <col min="70" max="73" width="11.453125" bestFit="1" customWidth="1"/>
    <col min="74" max="74" width="9.1796875" customWidth="1"/>
    <col min="75" max="75" width="52.1796875" bestFit="1" customWidth="1"/>
    <col min="76" max="76" width="7.7265625" bestFit="1" customWidth="1"/>
    <col min="77" max="77" width="60" bestFit="1" customWidth="1"/>
    <col min="78" max="78" width="15.7265625" style="375" bestFit="1" customWidth="1"/>
    <col min="79" max="81" width="15.7265625" style="375" customWidth="1"/>
    <col min="82" max="82" width="9.1796875" customWidth="1"/>
    <col min="83" max="83" width="30.7265625" bestFit="1" customWidth="1"/>
    <col min="84" max="84" width="30.1796875" bestFit="1" customWidth="1"/>
    <col min="85" max="85" width="8.54296875" bestFit="1" customWidth="1"/>
    <col min="86" max="86" width="11.453125" bestFit="1" customWidth="1"/>
    <col min="87" max="87" width="10.26953125" bestFit="1" customWidth="1"/>
    <col min="88" max="88" width="11.7265625" bestFit="1" customWidth="1"/>
    <col min="89" max="101" width="10.26953125" bestFit="1" customWidth="1"/>
    <col min="102" max="102" width="9.453125" customWidth="1"/>
    <col min="103" max="103" width="14.7265625" bestFit="1" customWidth="1"/>
    <col min="104" max="104" width="16" customWidth="1"/>
    <col min="105" max="105" width="8.54296875" bestFit="1" customWidth="1"/>
    <col min="106" max="113" width="11.453125" bestFit="1" customWidth="1"/>
    <col min="114" max="114" width="9.1796875" customWidth="1"/>
    <col min="115" max="115" width="30" bestFit="1" customWidth="1"/>
    <col min="116" max="116" width="39.453125" bestFit="1" customWidth="1"/>
    <col min="117" max="117" width="11.26953125" bestFit="1" customWidth="1"/>
    <col min="118" max="118" width="9.1796875" customWidth="1"/>
    <col min="119" max="119" width="30" style="4" bestFit="1" customWidth="1"/>
    <col min="120" max="120" width="39.453125" bestFit="1" customWidth="1"/>
    <col min="121" max="121" width="8.54296875" bestFit="1" customWidth="1"/>
    <col min="122" max="122" width="11.26953125" bestFit="1" customWidth="1"/>
    <col min="123" max="123" width="9.81640625" bestFit="1" customWidth="1"/>
    <col min="124" max="124" width="10.26953125" bestFit="1" customWidth="1"/>
    <col min="125" max="125" width="9.1796875" customWidth="1"/>
    <col min="126" max="126" width="29.26953125" bestFit="1" customWidth="1"/>
    <col min="127" max="127" width="18.1796875" customWidth="1"/>
    <col min="129" max="129" width="13.453125" bestFit="1" customWidth="1"/>
    <col min="130" max="130" width="37.1796875" customWidth="1"/>
    <col min="131" max="131" width="8.54296875" bestFit="1" customWidth="1"/>
    <col min="132" max="132" width="29.1796875" bestFit="1" customWidth="1"/>
    <col min="133" max="133" width="9.81640625" bestFit="1" customWidth="1"/>
    <col min="134" max="134" width="18.81640625" bestFit="1" customWidth="1"/>
    <col min="135" max="135" width="20.26953125" bestFit="1" customWidth="1"/>
    <col min="136" max="136" width="9.1796875" customWidth="1"/>
    <col min="137" max="137" width="52.1796875" bestFit="1" customWidth="1"/>
    <col min="138" max="139" width="10.7265625" bestFit="1" customWidth="1"/>
    <col min="140" max="140" width="64.1796875" bestFit="1" customWidth="1"/>
    <col min="141" max="141" width="18.453125" style="375" bestFit="1" customWidth="1"/>
    <col min="142" max="144" width="18.453125" style="375" customWidth="1"/>
    <col min="146" max="146" width="29.54296875" bestFit="1" customWidth="1"/>
    <col min="147" max="147" width="30.1796875" bestFit="1" customWidth="1"/>
    <col min="148" max="148" width="24.453125" bestFit="1" customWidth="1"/>
    <col min="149" max="156" width="11.453125" bestFit="1" customWidth="1"/>
    <col min="157" max="164" width="9.54296875" bestFit="1" customWidth="1"/>
    <col min="166" max="166" width="52.453125" customWidth="1"/>
    <col min="167" max="167" width="7.26953125" bestFit="1" customWidth="1"/>
    <col min="168" max="168" width="8.54296875" bestFit="1" customWidth="1"/>
    <col min="169" max="169" width="10.26953125" customWidth="1"/>
    <col min="170" max="170" width="9.81640625" bestFit="1" customWidth="1"/>
    <col min="171" max="171" width="12.453125" bestFit="1" customWidth="1"/>
  </cols>
  <sheetData>
    <row r="1" spans="1:171" ht="39.5" thickTop="1" x14ac:dyDescent="0.35">
      <c r="J1" s="13" t="s">
        <v>1650</v>
      </c>
      <c r="K1" s="145" t="s">
        <v>1651</v>
      </c>
      <c r="L1" s="13" t="s">
        <v>131</v>
      </c>
      <c r="M1" s="12">
        <v>44348</v>
      </c>
      <c r="N1" s="146" t="s">
        <v>1652</v>
      </c>
      <c r="O1" s="384" t="s">
        <v>1653</v>
      </c>
      <c r="R1" s="153" t="s">
        <v>1650</v>
      </c>
      <c r="S1" s="154" t="s">
        <v>1654</v>
      </c>
      <c r="T1" s="13" t="s">
        <v>131</v>
      </c>
      <c r="U1" s="12">
        <v>44348</v>
      </c>
      <c r="V1" s="146" t="s">
        <v>1652</v>
      </c>
      <c r="W1" s="385" t="s">
        <v>1655</v>
      </c>
      <c r="AD1" s="153" t="s">
        <v>1650</v>
      </c>
      <c r="AE1" s="154" t="s">
        <v>1656</v>
      </c>
      <c r="AF1" s="13" t="s">
        <v>131</v>
      </c>
      <c r="AG1" s="220" t="s">
        <v>1657</v>
      </c>
      <c r="AH1" s="13" t="s">
        <v>1652</v>
      </c>
      <c r="AI1" s="220" t="s">
        <v>1658</v>
      </c>
      <c r="AK1" s="270"/>
      <c r="AL1" s="271"/>
      <c r="AM1" s="272"/>
      <c r="AN1" s="272"/>
      <c r="AO1" s="273"/>
      <c r="AP1" s="269"/>
      <c r="AQ1" s="269"/>
      <c r="AR1" s="269"/>
      <c r="AS1" s="269"/>
      <c r="AT1" s="269"/>
      <c r="AU1" s="269"/>
      <c r="AV1" s="269"/>
      <c r="AW1" s="269"/>
      <c r="AX1" s="13" t="s">
        <v>1650</v>
      </c>
      <c r="AY1" s="145" t="s">
        <v>1659</v>
      </c>
      <c r="AZ1" s="13" t="s">
        <v>131</v>
      </c>
      <c r="BA1" s="12">
        <v>44348</v>
      </c>
      <c r="BB1" s="146" t="s">
        <v>1652</v>
      </c>
      <c r="BC1" s="385" t="s">
        <v>1655</v>
      </c>
      <c r="BG1" s="13" t="s">
        <v>1650</v>
      </c>
      <c r="BH1" s="145" t="s">
        <v>1660</v>
      </c>
      <c r="BI1" s="13" t="s">
        <v>131</v>
      </c>
      <c r="BJ1" s="12">
        <v>44348</v>
      </c>
      <c r="BK1" s="146" t="s">
        <v>1652</v>
      </c>
      <c r="BL1" s="385" t="s">
        <v>1655</v>
      </c>
      <c r="BO1" s="13" t="s">
        <v>1650</v>
      </c>
      <c r="BP1" s="145" t="s">
        <v>1661</v>
      </c>
      <c r="BQ1" s="13" t="s">
        <v>131</v>
      </c>
      <c r="BR1" s="12">
        <v>44348</v>
      </c>
      <c r="BS1" s="146" t="s">
        <v>1652</v>
      </c>
      <c r="BT1" s="385" t="s">
        <v>1655</v>
      </c>
      <c r="CE1" s="21" t="s">
        <v>1650</v>
      </c>
      <c r="CF1" s="362" t="s">
        <v>1662</v>
      </c>
      <c r="CG1" s="21" t="s">
        <v>131</v>
      </c>
      <c r="CH1" s="364">
        <v>44348</v>
      </c>
      <c r="CI1" s="363" t="s">
        <v>1652</v>
      </c>
      <c r="CJ1" s="385" t="s">
        <v>1655</v>
      </c>
      <c r="CY1" s="356" t="s">
        <v>1650</v>
      </c>
      <c r="CZ1" s="335" t="s">
        <v>1663</v>
      </c>
      <c r="DA1" s="357" t="s">
        <v>131</v>
      </c>
      <c r="DB1" s="358">
        <v>44348</v>
      </c>
      <c r="DC1" s="359" t="s">
        <v>1652</v>
      </c>
      <c r="DD1" s="385" t="s">
        <v>1655</v>
      </c>
      <c r="DO1" s="153" t="s">
        <v>1650</v>
      </c>
      <c r="DP1" s="154" t="s">
        <v>1664</v>
      </c>
      <c r="DQ1" s="13" t="s">
        <v>131</v>
      </c>
      <c r="DR1" s="12">
        <v>44348</v>
      </c>
      <c r="DS1" s="146" t="s">
        <v>1652</v>
      </c>
      <c r="DT1" s="385" t="s">
        <v>1655</v>
      </c>
      <c r="DY1" s="21" t="s">
        <v>1650</v>
      </c>
      <c r="DZ1" s="362" t="s">
        <v>1665</v>
      </c>
      <c r="EA1" s="21" t="s">
        <v>131</v>
      </c>
      <c r="EB1" s="364">
        <v>44348</v>
      </c>
      <c r="EC1" s="406" t="s">
        <v>1652</v>
      </c>
      <c r="ED1" s="385" t="s">
        <v>1655</v>
      </c>
      <c r="EP1" s="13" t="s">
        <v>1650</v>
      </c>
      <c r="EQ1" s="145" t="s">
        <v>1666</v>
      </c>
      <c r="ER1" s="13" t="s">
        <v>131</v>
      </c>
      <c r="ES1" s="12">
        <v>44348</v>
      </c>
      <c r="ET1" s="146" t="s">
        <v>1652</v>
      </c>
      <c r="EU1" s="12" t="s">
        <v>1667</v>
      </c>
      <c r="FJ1" s="13" t="s">
        <v>1650</v>
      </c>
      <c r="FK1" s="145" t="s">
        <v>259</v>
      </c>
      <c r="FL1" s="13" t="s">
        <v>131</v>
      </c>
      <c r="FM1" s="12" t="s">
        <v>1668</v>
      </c>
      <c r="FN1" s="146" t="s">
        <v>1652</v>
      </c>
      <c r="FO1" s="220" t="s">
        <v>1669</v>
      </c>
    </row>
    <row r="2" spans="1:171" ht="31.5" customHeight="1" thickBot="1" x14ac:dyDescent="0.4">
      <c r="J2" s="303" t="s">
        <v>134</v>
      </c>
      <c r="K2" s="304" t="s">
        <v>181</v>
      </c>
      <c r="L2" s="305" t="s">
        <v>136</v>
      </c>
      <c r="M2" s="306">
        <v>1</v>
      </c>
      <c r="N2" s="305" t="s">
        <v>137</v>
      </c>
      <c r="O2" s="307">
        <v>2020</v>
      </c>
      <c r="R2" s="308" t="s">
        <v>134</v>
      </c>
      <c r="S2" s="309" t="s">
        <v>181</v>
      </c>
      <c r="T2" s="308" t="s">
        <v>136</v>
      </c>
      <c r="U2" s="310">
        <v>1</v>
      </c>
      <c r="V2" s="305" t="s">
        <v>137</v>
      </c>
      <c r="W2" s="307">
        <v>2020</v>
      </c>
      <c r="AD2" s="155" t="s">
        <v>134</v>
      </c>
      <c r="AE2" s="156" t="s">
        <v>181</v>
      </c>
      <c r="AF2" s="155" t="s">
        <v>1670</v>
      </c>
      <c r="AG2" s="157">
        <v>1</v>
      </c>
      <c r="AH2" s="155" t="s">
        <v>469</v>
      </c>
      <c r="AI2" s="157">
        <v>2020</v>
      </c>
      <c r="AK2" s="270"/>
      <c r="AL2" s="274"/>
      <c r="AM2" s="270"/>
      <c r="AN2" s="270"/>
      <c r="AO2" s="275"/>
      <c r="AP2" s="269"/>
      <c r="AQ2" s="269"/>
      <c r="AR2" s="269"/>
      <c r="AS2" s="269"/>
      <c r="AT2" s="269"/>
      <c r="AU2" s="269"/>
      <c r="AV2" s="269"/>
      <c r="AW2" s="269"/>
      <c r="AX2" s="303" t="s">
        <v>134</v>
      </c>
      <c r="AY2" s="304" t="s">
        <v>192</v>
      </c>
      <c r="AZ2" s="305" t="s">
        <v>136</v>
      </c>
      <c r="BA2" s="306">
        <v>1</v>
      </c>
      <c r="BB2" s="305" t="s">
        <v>137</v>
      </c>
      <c r="BC2" s="307">
        <v>2020</v>
      </c>
      <c r="BG2" s="303" t="s">
        <v>134</v>
      </c>
      <c r="BH2" s="304" t="s">
        <v>192</v>
      </c>
      <c r="BI2" s="305" t="s">
        <v>136</v>
      </c>
      <c r="BJ2" s="306">
        <v>1</v>
      </c>
      <c r="BK2" s="305" t="s">
        <v>137</v>
      </c>
      <c r="BL2" s="307">
        <v>2020</v>
      </c>
      <c r="BO2" s="303" t="s">
        <v>134</v>
      </c>
      <c r="BP2" s="304" t="s">
        <v>192</v>
      </c>
      <c r="BQ2" s="305" t="s">
        <v>136</v>
      </c>
      <c r="BR2" s="306">
        <v>1</v>
      </c>
      <c r="BS2" s="305" t="s">
        <v>137</v>
      </c>
      <c r="BT2" s="307">
        <v>2020</v>
      </c>
      <c r="CE2" s="365" t="s">
        <v>134</v>
      </c>
      <c r="CF2" s="366" t="s">
        <v>181</v>
      </c>
      <c r="CG2" s="367" t="s">
        <v>136</v>
      </c>
      <c r="CH2" s="368">
        <v>1</v>
      </c>
      <c r="CI2" s="367" t="s">
        <v>137</v>
      </c>
      <c r="CJ2" s="369">
        <v>2020</v>
      </c>
      <c r="CY2" s="360" t="s">
        <v>134</v>
      </c>
      <c r="CZ2" s="370" t="s">
        <v>181</v>
      </c>
      <c r="DA2" s="371" t="s">
        <v>136</v>
      </c>
      <c r="DB2" s="372">
        <v>1</v>
      </c>
      <c r="DC2" s="373" t="s">
        <v>137</v>
      </c>
      <c r="DD2" s="374">
        <v>2020</v>
      </c>
      <c r="DO2" s="155" t="s">
        <v>134</v>
      </c>
      <c r="DP2" s="156" t="s">
        <v>181</v>
      </c>
      <c r="DQ2" s="155" t="s">
        <v>136</v>
      </c>
      <c r="DR2" s="157">
        <v>1</v>
      </c>
      <c r="DS2" s="333" t="s">
        <v>137</v>
      </c>
      <c r="DT2" s="334">
        <v>2020</v>
      </c>
      <c r="DY2" s="365" t="s">
        <v>134</v>
      </c>
      <c r="DZ2" s="366" t="s">
        <v>192</v>
      </c>
      <c r="EA2" s="367" t="s">
        <v>136</v>
      </c>
      <c r="EB2" s="407">
        <v>1</v>
      </c>
      <c r="EC2" s="408" t="s">
        <v>137</v>
      </c>
      <c r="ED2" s="409">
        <v>2020</v>
      </c>
      <c r="EP2" s="490" t="s">
        <v>134</v>
      </c>
      <c r="EQ2" s="491" t="s">
        <v>192</v>
      </c>
      <c r="ER2" s="333" t="s">
        <v>136</v>
      </c>
      <c r="ES2" s="492">
        <v>1</v>
      </c>
      <c r="ET2" s="333" t="s">
        <v>137</v>
      </c>
      <c r="EU2" s="334">
        <v>2020</v>
      </c>
      <c r="FJ2" s="490" t="s">
        <v>134</v>
      </c>
      <c r="FK2" s="491" t="s">
        <v>1671</v>
      </c>
      <c r="FL2" s="333" t="s">
        <v>136</v>
      </c>
      <c r="FM2" s="492">
        <v>1</v>
      </c>
      <c r="FN2" s="333" t="s">
        <v>137</v>
      </c>
      <c r="FO2" s="1287" t="s">
        <v>1672</v>
      </c>
    </row>
    <row r="3" spans="1:171" ht="15" thickTop="1" x14ac:dyDescent="0.35">
      <c r="B3" s="1709" t="s">
        <v>1673</v>
      </c>
      <c r="C3" s="1710"/>
      <c r="D3" s="1710"/>
      <c r="E3" s="1711"/>
      <c r="F3" s="779"/>
      <c r="G3" s="779"/>
      <c r="H3" s="779"/>
      <c r="J3" s="1709" t="s">
        <v>1674</v>
      </c>
      <c r="K3" s="1710"/>
      <c r="L3" s="1710"/>
      <c r="M3" s="1710"/>
      <c r="N3" s="1710"/>
      <c r="O3" s="1711"/>
      <c r="R3" s="1709" t="s">
        <v>1675</v>
      </c>
      <c r="S3" s="1710"/>
      <c r="T3" s="1710"/>
      <c r="U3" s="1710"/>
      <c r="V3" s="1710"/>
      <c r="W3" s="1711"/>
      <c r="Y3" s="1709" t="s">
        <v>1676</v>
      </c>
      <c r="Z3" s="1710"/>
      <c r="AA3" s="1710"/>
      <c r="AB3" s="1711"/>
      <c r="AK3" s="1709" t="s">
        <v>1677</v>
      </c>
      <c r="AL3" s="1710"/>
      <c r="AM3" s="1710"/>
      <c r="AN3" s="1711"/>
      <c r="AP3" s="1709" t="s">
        <v>1678</v>
      </c>
      <c r="AQ3" s="1710"/>
      <c r="AR3" s="1710"/>
      <c r="AS3" s="1711"/>
      <c r="AT3" s="779"/>
      <c r="AU3" s="779"/>
      <c r="AV3" s="779"/>
      <c r="AW3" s="311"/>
      <c r="AX3" s="1709" t="s">
        <v>1679</v>
      </c>
      <c r="AY3" s="1710"/>
      <c r="AZ3" s="1710"/>
      <c r="BA3" s="1710"/>
      <c r="BB3" s="1710"/>
      <c r="BC3" s="1711"/>
      <c r="BG3" s="1709" t="s">
        <v>1680</v>
      </c>
      <c r="BH3" s="1710"/>
      <c r="BI3" s="1710"/>
      <c r="BJ3" s="1710"/>
      <c r="BK3" s="1710"/>
      <c r="BL3" s="1711"/>
      <c r="BO3" s="1709" t="s">
        <v>1681</v>
      </c>
      <c r="BP3" s="1710"/>
      <c r="BQ3" s="1710"/>
      <c r="BR3" s="1710"/>
      <c r="BS3" s="1710"/>
      <c r="BT3" s="1711"/>
    </row>
    <row r="4" spans="1:171" s="2" customFormat="1" ht="15" thickBot="1" x14ac:dyDescent="0.4">
      <c r="B4" s="1715"/>
      <c r="C4" s="1716"/>
      <c r="D4" s="1716"/>
      <c r="E4" s="1717"/>
      <c r="F4" s="779"/>
      <c r="G4" s="779"/>
      <c r="H4" s="779"/>
      <c r="J4" s="1715"/>
      <c r="K4" s="1716"/>
      <c r="L4" s="1716"/>
      <c r="M4" s="1716"/>
      <c r="N4" s="1716"/>
      <c r="O4" s="1717"/>
      <c r="R4" s="1715"/>
      <c r="S4" s="1716"/>
      <c r="T4" s="1716"/>
      <c r="U4" s="1716"/>
      <c r="V4" s="1716"/>
      <c r="W4" s="1717"/>
      <c r="Y4" s="1715"/>
      <c r="Z4" s="1716"/>
      <c r="AA4" s="1716"/>
      <c r="AB4" s="1717"/>
      <c r="AK4" s="1715"/>
      <c r="AL4" s="1716"/>
      <c r="AM4" s="1716"/>
      <c r="AN4" s="1717"/>
      <c r="AP4" s="1715"/>
      <c r="AQ4" s="1716"/>
      <c r="AR4" s="1716"/>
      <c r="AS4" s="1717"/>
      <c r="AT4" s="779"/>
      <c r="AU4" s="779"/>
      <c r="AV4" s="779"/>
      <c r="AW4" s="311"/>
      <c r="AX4" s="1715"/>
      <c r="AY4" s="1716"/>
      <c r="AZ4" s="1716"/>
      <c r="BA4" s="1716"/>
      <c r="BB4" s="1716"/>
      <c r="BC4" s="1717"/>
      <c r="BG4" s="1715"/>
      <c r="BH4" s="1716"/>
      <c r="BI4" s="1716"/>
      <c r="BJ4" s="1716"/>
      <c r="BK4" s="1716"/>
      <c r="BL4" s="1717"/>
      <c r="BO4" s="1715"/>
      <c r="BP4" s="1716"/>
      <c r="BQ4" s="1716"/>
      <c r="BR4" s="1716"/>
      <c r="BS4" s="1716"/>
      <c r="BT4" s="1717"/>
      <c r="BZ4" s="375"/>
      <c r="CA4" s="375"/>
      <c r="CB4" s="375"/>
      <c r="CC4" s="375"/>
      <c r="DO4" s="320"/>
      <c r="EK4" s="375"/>
      <c r="EL4" s="375"/>
      <c r="EM4" s="375"/>
      <c r="EN4" s="375"/>
    </row>
    <row r="5" spans="1:171" ht="15" thickBot="1" x14ac:dyDescent="0.4">
      <c r="B5" s="1"/>
      <c r="C5" s="1"/>
      <c r="D5" s="1"/>
      <c r="E5" s="1"/>
      <c r="F5" s="1"/>
      <c r="G5" s="1"/>
      <c r="H5" s="1"/>
      <c r="Y5" s="2"/>
      <c r="Z5" s="2"/>
      <c r="AA5" s="2"/>
      <c r="AB5" s="2"/>
      <c r="AK5" s="2"/>
      <c r="AL5" s="2"/>
      <c r="AM5" s="2"/>
      <c r="AN5" s="2"/>
    </row>
    <row r="6" spans="1:171" ht="17" thickBot="1" x14ac:dyDescent="0.5">
      <c r="B6" s="221" t="s">
        <v>1682</v>
      </c>
      <c r="C6" s="222" t="s">
        <v>1088</v>
      </c>
      <c r="D6" s="222" t="s">
        <v>1683</v>
      </c>
      <c r="E6" s="1273" t="s">
        <v>1684</v>
      </c>
      <c r="F6" s="1284" t="s">
        <v>1685</v>
      </c>
      <c r="G6" s="1284" t="s">
        <v>1686</v>
      </c>
      <c r="H6" s="1284" t="s">
        <v>1687</v>
      </c>
      <c r="J6" s="1364" t="s">
        <v>1688</v>
      </c>
      <c r="K6" s="1364" t="s">
        <v>1682</v>
      </c>
      <c r="L6" s="122" t="s">
        <v>1689</v>
      </c>
      <c r="M6" s="123" t="s">
        <v>1690</v>
      </c>
      <c r="N6" s="123" t="s">
        <v>1691</v>
      </c>
      <c r="O6" s="124" t="s">
        <v>1692</v>
      </c>
      <c r="P6" s="124" t="s">
        <v>1693</v>
      </c>
      <c r="R6" s="147" t="s">
        <v>1688</v>
      </c>
      <c r="S6" s="122" t="s">
        <v>1682</v>
      </c>
      <c r="T6" s="122" t="s">
        <v>1689</v>
      </c>
      <c r="U6" s="130" t="s">
        <v>1694</v>
      </c>
      <c r="Y6" s="316" t="s">
        <v>1695</v>
      </c>
      <c r="Z6" s="317" t="s">
        <v>1696</v>
      </c>
      <c r="AA6" s="317" t="s">
        <v>1683</v>
      </c>
      <c r="AB6" s="318" t="s">
        <v>1697</v>
      </c>
      <c r="AD6" s="221" t="s">
        <v>1695</v>
      </c>
      <c r="AE6" s="223" t="s">
        <v>1698</v>
      </c>
      <c r="AF6" s="6"/>
      <c r="AG6" s="6"/>
      <c r="AK6" s="257" t="s">
        <v>1088</v>
      </c>
      <c r="AL6" s="258" t="s">
        <v>993</v>
      </c>
      <c r="AM6" s="2"/>
      <c r="AP6" s="316" t="s">
        <v>658</v>
      </c>
      <c r="AQ6" s="317" t="s">
        <v>1689</v>
      </c>
      <c r="AR6" s="317" t="s">
        <v>1683</v>
      </c>
      <c r="AS6" s="318" t="s">
        <v>1699</v>
      </c>
      <c r="AT6" s="1285" t="s">
        <v>1685</v>
      </c>
      <c r="AU6" s="1285" t="s">
        <v>1686</v>
      </c>
      <c r="AV6" s="1285" t="s">
        <v>1687</v>
      </c>
      <c r="AX6" s="149"/>
      <c r="AY6" s="149"/>
      <c r="AZ6" s="149"/>
      <c r="BA6" s="149"/>
      <c r="BB6" s="1989" t="s">
        <v>1700</v>
      </c>
      <c r="BC6" s="1990"/>
      <c r="BD6" s="1990"/>
      <c r="BE6" s="1991"/>
      <c r="BR6" s="1972" t="s">
        <v>1701</v>
      </c>
      <c r="BS6" s="1972"/>
      <c r="BT6" s="1972"/>
      <c r="BU6" s="1972"/>
      <c r="BW6" s="316" t="s">
        <v>1702</v>
      </c>
      <c r="BX6" s="317" t="s">
        <v>1682</v>
      </c>
      <c r="BY6" s="317" t="s">
        <v>1683</v>
      </c>
      <c r="BZ6" s="318" t="s">
        <v>1703</v>
      </c>
      <c r="CA6" s="1285" t="s">
        <v>1685</v>
      </c>
      <c r="CB6" s="1285" t="s">
        <v>1686</v>
      </c>
      <c r="CC6" s="1285" t="s">
        <v>1687</v>
      </c>
      <c r="CE6" s="345"/>
      <c r="CF6" s="345"/>
      <c r="CG6" s="345"/>
      <c r="CH6" s="1972" t="s">
        <v>715</v>
      </c>
      <c r="CI6" s="1972"/>
      <c r="CJ6" s="1972"/>
      <c r="CK6" s="1972"/>
      <c r="CL6" s="1972" t="s">
        <v>713</v>
      </c>
      <c r="CM6" s="1972"/>
      <c r="CN6" s="1972"/>
      <c r="CO6" s="1972"/>
      <c r="CP6" s="1972" t="s">
        <v>1704</v>
      </c>
      <c r="CQ6" s="1972"/>
      <c r="CR6" s="1972"/>
      <c r="CS6" s="1973"/>
      <c r="CT6" s="1975" t="s">
        <v>1705</v>
      </c>
      <c r="CU6" s="1975"/>
      <c r="CV6" s="1975"/>
      <c r="CW6" s="1975"/>
      <c r="CX6" s="344"/>
      <c r="CY6" s="345"/>
      <c r="CZ6" s="345"/>
      <c r="DA6" s="345"/>
      <c r="DB6" s="1972" t="s">
        <v>715</v>
      </c>
      <c r="DC6" s="1972"/>
      <c r="DD6" s="1972"/>
      <c r="DE6" s="1972"/>
      <c r="DF6" s="1972" t="s">
        <v>713</v>
      </c>
      <c r="DG6" s="1972"/>
      <c r="DH6" s="1972"/>
      <c r="DI6" s="1972"/>
      <c r="DK6" s="1385" t="s">
        <v>1688</v>
      </c>
      <c r="DL6" s="1385" t="s">
        <v>1706</v>
      </c>
      <c r="DM6" s="1385" t="s">
        <v>1707</v>
      </c>
      <c r="DO6" s="331" t="s">
        <v>1688</v>
      </c>
      <c r="DP6" s="122" t="s">
        <v>1706</v>
      </c>
      <c r="DQ6" s="122" t="s">
        <v>1689</v>
      </c>
      <c r="DR6" s="123" t="s">
        <v>1690</v>
      </c>
      <c r="DV6" s="436" t="s">
        <v>1117</v>
      </c>
      <c r="DW6" s="437" t="s">
        <v>1708</v>
      </c>
      <c r="DY6" s="399"/>
      <c r="DZ6" s="399"/>
      <c r="EA6" s="399"/>
      <c r="EB6" s="400" t="s">
        <v>1709</v>
      </c>
      <c r="EC6" s="400" t="s">
        <v>1710</v>
      </c>
      <c r="ED6" s="400" t="s">
        <v>1711</v>
      </c>
      <c r="EE6" s="400" t="s">
        <v>1712</v>
      </c>
      <c r="EG6" s="316" t="s">
        <v>1702</v>
      </c>
      <c r="EH6" s="317" t="s">
        <v>1682</v>
      </c>
      <c r="EI6" s="317" t="s">
        <v>1689</v>
      </c>
      <c r="EJ6" s="317" t="s">
        <v>1683</v>
      </c>
      <c r="EK6" s="318" t="s">
        <v>1713</v>
      </c>
      <c r="EL6" s="1285" t="s">
        <v>1685</v>
      </c>
      <c r="EM6" s="1285" t="s">
        <v>1686</v>
      </c>
      <c r="EN6" s="1285" t="s">
        <v>1687</v>
      </c>
      <c r="EP6" s="493"/>
      <c r="EQ6" s="494"/>
      <c r="ER6" s="345"/>
      <c r="ES6" s="1972" t="s">
        <v>715</v>
      </c>
      <c r="ET6" s="1972"/>
      <c r="EU6" s="1972"/>
      <c r="EV6" s="1972"/>
      <c r="EW6" s="1972" t="s">
        <v>713</v>
      </c>
      <c r="EX6" s="1972"/>
      <c r="EY6" s="1972"/>
      <c r="EZ6" s="1972"/>
    </row>
    <row r="7" spans="1:171" ht="16.5" x14ac:dyDescent="0.45">
      <c r="A7" s="1979" t="s">
        <v>1714</v>
      </c>
      <c r="B7" s="163" t="s">
        <v>564</v>
      </c>
      <c r="C7" s="164" t="s">
        <v>563</v>
      </c>
      <c r="D7" s="164" t="str">
        <f t="shared" ref="D7:D38" si="0">B7&amp;"|"&amp;C7</f>
        <v>Natural gas|Kilowatt hours (KWh)</v>
      </c>
      <c r="E7" s="1274">
        <f>M30</f>
        <v>0.18454999999999999</v>
      </c>
      <c r="F7" s="1274">
        <f>N30</f>
        <v>0.18421000000000001</v>
      </c>
      <c r="G7" s="1274">
        <f>O30</f>
        <v>2.5000000000000001E-4</v>
      </c>
      <c r="H7" s="1274">
        <f>P30</f>
        <v>1E-4</v>
      </c>
      <c r="J7" s="1378"/>
      <c r="K7" s="1375" t="s">
        <v>595</v>
      </c>
      <c r="L7" s="123" t="s">
        <v>316</v>
      </c>
      <c r="M7" s="1379">
        <v>3033.32</v>
      </c>
      <c r="N7" s="1379">
        <v>3029.26</v>
      </c>
      <c r="O7" s="1379">
        <v>2.25</v>
      </c>
      <c r="P7" s="1379">
        <v>1.8</v>
      </c>
      <c r="R7" s="150" t="s">
        <v>1715</v>
      </c>
      <c r="S7" s="151" t="s">
        <v>602</v>
      </c>
      <c r="T7" s="123" t="s">
        <v>199</v>
      </c>
      <c r="U7" s="126">
        <v>8.3700000000000007E-3</v>
      </c>
      <c r="Y7" s="242" t="s">
        <v>809</v>
      </c>
      <c r="Z7" s="242">
        <v>0.25</v>
      </c>
      <c r="AA7" s="242" t="str">
        <f>Y7&amp;"|"&amp;Z7</f>
        <v>Isoflurane/AErrane|0.25</v>
      </c>
      <c r="AB7" s="242">
        <v>0.37</v>
      </c>
      <c r="AD7" s="241" t="s">
        <v>809</v>
      </c>
      <c r="AE7" s="633">
        <f>('Anaesthetics properties'!J10)-('Anaesthetics properties'!J10*'Anaesthetics properties'!B18)</f>
        <v>508.98</v>
      </c>
      <c r="AK7" s="259" t="s">
        <v>997</v>
      </c>
      <c r="AL7" s="260">
        <v>1</v>
      </c>
      <c r="AP7" s="164" t="s">
        <v>754</v>
      </c>
      <c r="AQ7" s="163" t="s">
        <v>751</v>
      </c>
      <c r="AR7" s="164" t="str">
        <f>AP7&amp;"|"&amp;AQ7</f>
        <v>Domestic flight- Within country|passenger.km</v>
      </c>
      <c r="AS7" s="376">
        <f>BB8</f>
        <v>0.24429999999999999</v>
      </c>
      <c r="AT7" s="376">
        <f t="shared" ref="AT7:AV7" si="1">BC8</f>
        <v>0.24298</v>
      </c>
      <c r="AU7" s="376">
        <f t="shared" si="1"/>
        <v>1.1E-4</v>
      </c>
      <c r="AV7" s="376">
        <f t="shared" si="1"/>
        <v>1.2099999999999999E-3</v>
      </c>
      <c r="AX7" s="284" t="s">
        <v>1688</v>
      </c>
      <c r="AY7" s="285" t="s">
        <v>1716</v>
      </c>
      <c r="AZ7" s="285" t="s">
        <v>1717</v>
      </c>
      <c r="BA7" s="286" t="s">
        <v>1689</v>
      </c>
      <c r="BB7" s="287" t="s">
        <v>1690</v>
      </c>
      <c r="BC7" s="288" t="s">
        <v>1691</v>
      </c>
      <c r="BD7" s="288" t="s">
        <v>1692</v>
      </c>
      <c r="BE7" s="289" t="s">
        <v>1693</v>
      </c>
      <c r="BG7" s="122" t="s">
        <v>1688</v>
      </c>
      <c r="BH7" s="122" t="s">
        <v>1702</v>
      </c>
      <c r="BI7" s="122" t="s">
        <v>1689</v>
      </c>
      <c r="BJ7" s="123" t="s">
        <v>1690</v>
      </c>
      <c r="BK7" s="123" t="s">
        <v>1691</v>
      </c>
      <c r="BL7" s="123" t="s">
        <v>1692</v>
      </c>
      <c r="BM7" s="123" t="s">
        <v>1693</v>
      </c>
      <c r="BO7" s="122" t="s">
        <v>1688</v>
      </c>
      <c r="BP7" s="122" t="s">
        <v>1702</v>
      </c>
      <c r="BQ7" s="122" t="s">
        <v>1689</v>
      </c>
      <c r="BR7" s="123" t="s">
        <v>1690</v>
      </c>
      <c r="BS7" s="123" t="s">
        <v>1691</v>
      </c>
      <c r="BT7" s="123" t="s">
        <v>1692</v>
      </c>
      <c r="BU7" s="123" t="s">
        <v>1693</v>
      </c>
      <c r="BW7" s="163" t="s">
        <v>714</v>
      </c>
      <c r="BX7" s="163" t="s">
        <v>713</v>
      </c>
      <c r="BY7" s="163" t="str">
        <f>BW7&amp;"|"&amp;BX7</f>
        <v>Van-up to 1.305 tonnes|Petrol</v>
      </c>
      <c r="BZ7" s="380">
        <f>CL8</f>
        <v>0.21079000000000001</v>
      </c>
      <c r="CA7" s="380">
        <f t="shared" ref="CA7:CC7" si="2">CM8</f>
        <v>0.20998</v>
      </c>
      <c r="CB7" s="380">
        <f t="shared" si="2"/>
        <v>2.4000000000000001E-4</v>
      </c>
      <c r="CC7" s="380">
        <f t="shared" si="2"/>
        <v>5.6999999999999998E-4</v>
      </c>
      <c r="CE7" s="122" t="s">
        <v>1688</v>
      </c>
      <c r="CF7" s="122" t="s">
        <v>1702</v>
      </c>
      <c r="CG7" s="122" t="s">
        <v>1689</v>
      </c>
      <c r="CH7" s="123" t="s">
        <v>1690</v>
      </c>
      <c r="CI7" s="123" t="s">
        <v>1691</v>
      </c>
      <c r="CJ7" s="123" t="s">
        <v>1692</v>
      </c>
      <c r="CK7" s="123" t="s">
        <v>1693</v>
      </c>
      <c r="CL7" s="123" t="s">
        <v>1690</v>
      </c>
      <c r="CM7" s="123" t="s">
        <v>1691</v>
      </c>
      <c r="CN7" s="123" t="s">
        <v>1692</v>
      </c>
      <c r="CO7" s="123" t="s">
        <v>1693</v>
      </c>
      <c r="CP7" s="123" t="s">
        <v>1690</v>
      </c>
      <c r="CQ7" s="123" t="s">
        <v>1691</v>
      </c>
      <c r="CR7" s="123" t="s">
        <v>1692</v>
      </c>
      <c r="CS7" s="339" t="s">
        <v>1693</v>
      </c>
      <c r="CT7" s="349" t="s">
        <v>1690</v>
      </c>
      <c r="CU7" s="349" t="s">
        <v>1691</v>
      </c>
      <c r="CV7" s="349" t="s">
        <v>1692</v>
      </c>
      <c r="CW7" s="349" t="s">
        <v>1693</v>
      </c>
      <c r="CX7" s="345"/>
      <c r="CY7" s="353" t="s">
        <v>1688</v>
      </c>
      <c r="CZ7" s="353" t="s">
        <v>1702</v>
      </c>
      <c r="DA7" s="353" t="s">
        <v>1689</v>
      </c>
      <c r="DB7" s="354" t="s">
        <v>1690</v>
      </c>
      <c r="DC7" s="123" t="s">
        <v>1691</v>
      </c>
      <c r="DD7" s="123" t="s">
        <v>1692</v>
      </c>
      <c r="DE7" s="123" t="s">
        <v>1693</v>
      </c>
      <c r="DF7" s="123" t="s">
        <v>1690</v>
      </c>
      <c r="DG7" s="123" t="s">
        <v>1691</v>
      </c>
      <c r="DH7" s="123" t="s">
        <v>1692</v>
      </c>
      <c r="DI7" s="123" t="s">
        <v>1693</v>
      </c>
      <c r="DK7" s="1974" t="s">
        <v>1718</v>
      </c>
      <c r="DL7" s="1386" t="s">
        <v>867</v>
      </c>
      <c r="DM7" s="1387">
        <f>DR7</f>
        <v>1</v>
      </c>
      <c r="DO7" s="1968" t="s">
        <v>1718</v>
      </c>
      <c r="DP7" s="123" t="s">
        <v>867</v>
      </c>
      <c r="DQ7" s="123" t="s">
        <v>202</v>
      </c>
      <c r="DR7" s="388">
        <v>1</v>
      </c>
      <c r="DV7" s="161" t="s">
        <v>1118</v>
      </c>
      <c r="DW7" s="1414">
        <f>EB8/1000</f>
        <v>7.7725999999999993E-3</v>
      </c>
      <c r="DY7" s="401" t="s">
        <v>1688</v>
      </c>
      <c r="DZ7" s="401" t="s">
        <v>1117</v>
      </c>
      <c r="EA7" s="401" t="s">
        <v>1689</v>
      </c>
      <c r="EB7" s="404" t="s">
        <v>1690</v>
      </c>
      <c r="EC7" s="404" t="s">
        <v>1690</v>
      </c>
      <c r="ED7" s="404" t="s">
        <v>1690</v>
      </c>
      <c r="EE7" s="404" t="s">
        <v>1690</v>
      </c>
      <c r="EG7" s="163" t="s">
        <v>714</v>
      </c>
      <c r="EH7" s="163" t="s">
        <v>713</v>
      </c>
      <c r="EI7" s="163" t="s">
        <v>197</v>
      </c>
      <c r="EJ7" s="163" t="str">
        <f>EG7&amp;"|"&amp;EH7 &amp;"|"&amp;EI7</f>
        <v>Van-up to 1.305 tonnes|Petrol|km</v>
      </c>
      <c r="EK7" s="380">
        <f>EW9</f>
        <v>0.21079000000000001</v>
      </c>
      <c r="EL7" s="380">
        <f t="shared" ref="EL7:EN7" si="3">EX9</f>
        <v>0.20998</v>
      </c>
      <c r="EM7" s="380">
        <f t="shared" si="3"/>
        <v>2.4000000000000001E-4</v>
      </c>
      <c r="EN7" s="380">
        <f t="shared" si="3"/>
        <v>5.6999999999999998E-4</v>
      </c>
      <c r="EP7" s="147" t="s">
        <v>1688</v>
      </c>
      <c r="EQ7" s="331" t="s">
        <v>1702</v>
      </c>
      <c r="ER7" s="122" t="s">
        <v>1689</v>
      </c>
      <c r="ES7" s="123" t="s">
        <v>1690</v>
      </c>
      <c r="ET7" s="123" t="s">
        <v>1691</v>
      </c>
      <c r="EU7" s="123" t="s">
        <v>1692</v>
      </c>
      <c r="EV7" s="123" t="s">
        <v>1693</v>
      </c>
      <c r="EW7" s="123" t="s">
        <v>1690</v>
      </c>
      <c r="EX7" s="123" t="s">
        <v>1691</v>
      </c>
      <c r="EY7" s="123" t="s">
        <v>1692</v>
      </c>
      <c r="EZ7" s="123" t="s">
        <v>1693</v>
      </c>
      <c r="FJ7" s="606" t="s">
        <v>1719</v>
      </c>
      <c r="FK7" s="606" t="s">
        <v>1088</v>
      </c>
      <c r="FL7" s="606" t="s">
        <v>1720</v>
      </c>
      <c r="FM7" s="606" t="s">
        <v>1721</v>
      </c>
      <c r="FN7" s="606" t="s">
        <v>1687</v>
      </c>
    </row>
    <row r="8" spans="1:171" x14ac:dyDescent="0.35">
      <c r="A8" s="1979"/>
      <c r="B8" s="158" t="s">
        <v>564</v>
      </c>
      <c r="C8" s="159" t="s">
        <v>575</v>
      </c>
      <c r="D8" s="159" t="str">
        <f t="shared" si="0"/>
        <v>Natural gas|Litres (l)</v>
      </c>
      <c r="E8" s="1275">
        <f>(E9*1000)/'Fuel properties'!H29</f>
        <v>2.0301717388935391E-3</v>
      </c>
      <c r="F8" s="1275">
        <f>(F9*1000)/'Fuel properties'!H29</f>
        <v>2.0263947271900898E-3</v>
      </c>
      <c r="G8" s="1275">
        <f>(G9*1000)/'Fuel properties'!H29</f>
        <v>2.7149767001538038E-6</v>
      </c>
      <c r="H8" s="1275">
        <f>(H9*1000)/'Fuel properties'!H29</f>
        <v>1.0620350032954586E-6</v>
      </c>
      <c r="J8" s="1373"/>
      <c r="K8" s="1376"/>
      <c r="L8" s="123" t="s">
        <v>199</v>
      </c>
      <c r="M8" s="1379">
        <v>1.74529</v>
      </c>
      <c r="N8" s="1379">
        <v>1.7429600000000001</v>
      </c>
      <c r="O8" s="1379">
        <v>1.2899999999999999E-3</v>
      </c>
      <c r="P8" s="1379">
        <v>1.0399999999999999E-3</v>
      </c>
      <c r="R8" s="150"/>
      <c r="S8" s="151"/>
      <c r="T8" s="123" t="s">
        <v>1722</v>
      </c>
      <c r="U8" s="126">
        <v>0.39328000000000002</v>
      </c>
      <c r="Y8" s="244" t="s">
        <v>809</v>
      </c>
      <c r="Z8" s="244">
        <v>0.24</v>
      </c>
      <c r="AA8" s="244" t="str">
        <f t="shared" ref="AA8:AA65" si="4">Y8&amp;"|"&amp;Z8</f>
        <v>Isoflurane/AErrane|0.24</v>
      </c>
      <c r="AB8" s="244" t="s">
        <v>1723</v>
      </c>
      <c r="AD8" s="243" t="s">
        <v>812</v>
      </c>
      <c r="AE8" s="634">
        <f>'Anaesthetics properties'!J12-('Anaesthetics properties'!B20*'Anaesthetics properties'!J12)</f>
        <v>123.5</v>
      </c>
      <c r="AK8" s="261" t="s">
        <v>575</v>
      </c>
      <c r="AL8" s="262">
        <v>1</v>
      </c>
      <c r="AP8" s="159" t="s">
        <v>754</v>
      </c>
      <c r="AQ8" s="158" t="s">
        <v>197</v>
      </c>
      <c r="AR8" s="164" t="str">
        <f t="shared" ref="AR8:AR87" si="5">AP8&amp;"|"&amp;AQ8</f>
        <v>Domestic flight- Within country|km</v>
      </c>
      <c r="AS8" s="299" t="s">
        <v>1724</v>
      </c>
      <c r="AT8" s="299" t="s">
        <v>1724</v>
      </c>
      <c r="AU8" s="299" t="s">
        <v>1724</v>
      </c>
      <c r="AV8" s="299" t="s">
        <v>1724</v>
      </c>
      <c r="AX8" s="1992" t="s">
        <v>1725</v>
      </c>
      <c r="AY8" s="288" t="s">
        <v>1726</v>
      </c>
      <c r="AZ8" s="288" t="s">
        <v>1727</v>
      </c>
      <c r="BA8" s="290" t="s">
        <v>751</v>
      </c>
      <c r="BB8" s="291">
        <v>0.24429999999999999</v>
      </c>
      <c r="BC8" s="291">
        <v>0.24298</v>
      </c>
      <c r="BD8" s="291">
        <v>1.1E-4</v>
      </c>
      <c r="BE8" s="291">
        <v>1.2099999999999999E-3</v>
      </c>
      <c r="BG8" s="1963" t="s">
        <v>1728</v>
      </c>
      <c r="BH8" s="123" t="s">
        <v>1729</v>
      </c>
      <c r="BI8" s="123" t="s">
        <v>751</v>
      </c>
      <c r="BJ8" s="295">
        <v>1.8737999999999998E-2</v>
      </c>
      <c r="BK8" s="295">
        <v>1.848E-2</v>
      </c>
      <c r="BL8" s="295">
        <v>6.0000000000000002E-6</v>
      </c>
      <c r="BM8" s="295">
        <v>2.52E-4</v>
      </c>
      <c r="BO8" s="1976" t="s">
        <v>1730</v>
      </c>
      <c r="BP8" s="1963" t="s">
        <v>700</v>
      </c>
      <c r="BQ8" s="123" t="s">
        <v>197</v>
      </c>
      <c r="BR8" s="296">
        <v>0.14449000000000001</v>
      </c>
      <c r="BS8" s="296">
        <v>0.14341999999999999</v>
      </c>
      <c r="BT8" s="296">
        <v>2.0000000000000001E-4</v>
      </c>
      <c r="BU8" s="296">
        <v>8.7000000000000001E-4</v>
      </c>
      <c r="BW8" s="158" t="s">
        <v>714</v>
      </c>
      <c r="BX8" s="158" t="s">
        <v>715</v>
      </c>
      <c r="BY8" s="158" t="str">
        <f t="shared" ref="BY8:BY44" si="6">BW8&amp;"|"&amp;BX8</f>
        <v>Van-up to 1.305 tonnes|Diesel</v>
      </c>
      <c r="BZ8" s="377">
        <f>CH8</f>
        <v>0.14853</v>
      </c>
      <c r="CA8" s="377">
        <f t="shared" ref="CA8:CC8" si="7">CI8</f>
        <v>0.1467</v>
      </c>
      <c r="CB8" s="377">
        <f t="shared" si="7"/>
        <v>0</v>
      </c>
      <c r="CC8" s="377">
        <f t="shared" si="7"/>
        <v>1.83E-3</v>
      </c>
      <c r="CE8" s="1963" t="s">
        <v>1731</v>
      </c>
      <c r="CF8" s="1963" t="s">
        <v>1732</v>
      </c>
      <c r="CG8" s="123" t="s">
        <v>197</v>
      </c>
      <c r="CH8" s="295">
        <v>0.14853</v>
      </c>
      <c r="CI8" s="295">
        <v>0.1467</v>
      </c>
      <c r="CJ8" s="361">
        <v>0</v>
      </c>
      <c r="CK8" s="295">
        <v>1.83E-3</v>
      </c>
      <c r="CL8" s="336">
        <v>0.21079000000000001</v>
      </c>
      <c r="CM8" s="336">
        <v>0.20998</v>
      </c>
      <c r="CN8" s="336">
        <v>2.4000000000000001E-4</v>
      </c>
      <c r="CO8" s="336">
        <v>5.6999999999999998E-4</v>
      </c>
      <c r="CP8" s="337"/>
      <c r="CQ8" s="337"/>
      <c r="CR8" s="337"/>
      <c r="CS8" s="340"/>
      <c r="CT8" s="350"/>
      <c r="CU8" s="350"/>
      <c r="CV8" s="350"/>
      <c r="CW8" s="350"/>
      <c r="CX8" s="345"/>
      <c r="CY8" s="1969" t="s">
        <v>1730</v>
      </c>
      <c r="CZ8" s="1969" t="s">
        <v>700</v>
      </c>
      <c r="DA8" s="349" t="s">
        <v>197</v>
      </c>
      <c r="DB8" s="355">
        <v>0.13721</v>
      </c>
      <c r="DC8" s="332">
        <v>0.13536999999999999</v>
      </c>
      <c r="DD8" s="332">
        <v>3.49E-6</v>
      </c>
      <c r="DE8" s="332">
        <v>1.8400000000000001E-3</v>
      </c>
      <c r="DF8" s="332">
        <v>0.14835999999999999</v>
      </c>
      <c r="DG8" s="332">
        <v>0.14768999999999999</v>
      </c>
      <c r="DH8" s="332">
        <v>3.1E-4</v>
      </c>
      <c r="DI8" s="332">
        <v>3.6000000000000002E-4</v>
      </c>
      <c r="DK8" s="1967"/>
      <c r="DL8" s="1388" t="s">
        <v>870</v>
      </c>
      <c r="DM8" s="1389">
        <f t="shared" ref="DM8:DM36" si="8">DR8</f>
        <v>25</v>
      </c>
      <c r="DO8" s="1968"/>
      <c r="DP8" s="123" t="s">
        <v>870</v>
      </c>
      <c r="DQ8" s="123" t="s">
        <v>202</v>
      </c>
      <c r="DR8" s="388">
        <v>25</v>
      </c>
      <c r="DV8" s="161" t="s">
        <v>1120</v>
      </c>
      <c r="DW8" s="1414">
        <f t="shared" ref="DW8:DW14" si="9">EB9/1000</f>
        <v>7.9267799999999999E-2</v>
      </c>
      <c r="DY8" s="1971" t="s">
        <v>1649</v>
      </c>
      <c r="DZ8" s="402" t="s">
        <v>1118</v>
      </c>
      <c r="EA8" s="402" t="s">
        <v>316</v>
      </c>
      <c r="EB8" s="403">
        <v>7.7725999999999997</v>
      </c>
      <c r="EC8" s="403">
        <v>2.21</v>
      </c>
      <c r="ED8" s="403">
        <v>3.2067999999999999</v>
      </c>
      <c r="EE8" s="403">
        <v>3.2067999999999999</v>
      </c>
      <c r="EG8" s="163" t="s">
        <v>714</v>
      </c>
      <c r="EH8" s="158" t="s">
        <v>715</v>
      </c>
      <c r="EI8" s="163" t="s">
        <v>197</v>
      </c>
      <c r="EJ8" s="163" t="str">
        <f t="shared" ref="EJ8:EJ41" si="10">EG8&amp;"|"&amp;EH8 &amp;"|"&amp;EI8</f>
        <v>Van-up to 1.305 tonnes|Diesel|km</v>
      </c>
      <c r="EK8" s="380">
        <f>ES9</f>
        <v>0.14853</v>
      </c>
      <c r="EL8" s="380">
        <f t="shared" ref="EL8:EN8" si="11">ET9</f>
        <v>0.1467</v>
      </c>
      <c r="EM8" s="380">
        <f t="shared" si="11"/>
        <v>0</v>
      </c>
      <c r="EN8" s="380">
        <f t="shared" si="11"/>
        <v>1.83E-3</v>
      </c>
      <c r="EP8" s="1994" t="s">
        <v>1731</v>
      </c>
      <c r="EQ8" s="1968" t="s">
        <v>1732</v>
      </c>
      <c r="ER8" s="123" t="s">
        <v>1093</v>
      </c>
      <c r="ES8" s="295">
        <v>0.82326999999999995</v>
      </c>
      <c r="ET8" s="295">
        <v>0.81311999999999995</v>
      </c>
      <c r="EU8" s="295">
        <v>2.0000000000000002E-5</v>
      </c>
      <c r="EV8" s="295">
        <v>1.013E-2</v>
      </c>
      <c r="EW8" s="295">
        <v>1.093</v>
      </c>
      <c r="EX8" s="295">
        <v>1.0888100000000001</v>
      </c>
      <c r="EY8" s="295">
        <v>1.23E-3</v>
      </c>
      <c r="EZ8" s="295">
        <v>2.96E-3</v>
      </c>
      <c r="FJ8" s="543" t="s">
        <v>1031</v>
      </c>
      <c r="FK8" s="606" t="s">
        <v>202</v>
      </c>
      <c r="FL8" s="739">
        <f>SUM(FM8,FN8)</f>
        <v>0.89800000000000002</v>
      </c>
      <c r="FM8" s="606">
        <v>0.88</v>
      </c>
      <c r="FN8" s="606">
        <v>1.7999999999999999E-2</v>
      </c>
    </row>
    <row r="9" spans="1:171" x14ac:dyDescent="0.35">
      <c r="A9" s="1979"/>
      <c r="B9" s="158" t="s">
        <v>564</v>
      </c>
      <c r="C9" s="159" t="s">
        <v>569</v>
      </c>
      <c r="D9" s="159" t="str">
        <f t="shared" si="0"/>
        <v>Natural gas|Kilograms (kg)</v>
      </c>
      <c r="E9" s="169">
        <f>M27/1000</f>
        <v>2.5424099999999998</v>
      </c>
      <c r="F9" s="169">
        <f>N27/1000</f>
        <v>2.5376799999999999</v>
      </c>
      <c r="G9" s="169">
        <f>O27/1000</f>
        <v>3.3999999999999998E-3</v>
      </c>
      <c r="H9" s="169">
        <f>P27/1000</f>
        <v>1.33E-3</v>
      </c>
      <c r="J9" s="1373"/>
      <c r="K9" s="1376"/>
      <c r="L9" s="123" t="s">
        <v>1733</v>
      </c>
      <c r="M9" s="1379">
        <v>0.24106</v>
      </c>
      <c r="N9" s="1379">
        <v>0.24074000000000001</v>
      </c>
      <c r="O9" s="1379">
        <v>1.8000000000000001E-4</v>
      </c>
      <c r="P9" s="1379">
        <v>1.3999999999999999E-4</v>
      </c>
      <c r="R9" s="150"/>
      <c r="S9" s="151"/>
      <c r="T9" s="123" t="s">
        <v>202</v>
      </c>
      <c r="U9" s="126">
        <v>1.0540000000000001E-2</v>
      </c>
      <c r="Y9" s="244" t="s">
        <v>809</v>
      </c>
      <c r="Z9" s="244">
        <v>0.2</v>
      </c>
      <c r="AA9" s="244" t="str">
        <f t="shared" si="4"/>
        <v>Isoflurane/AErrane|0.2</v>
      </c>
      <c r="AB9" s="244" t="s">
        <v>1723</v>
      </c>
      <c r="AD9" s="243" t="s">
        <v>815</v>
      </c>
      <c r="AE9" s="634">
        <f>'Anaesthetics properties'!J11-('Anaesthetics properties'!J11*'Anaesthetics properties'!B19)</f>
        <v>2539.4920000000002</v>
      </c>
      <c r="AK9" s="263" t="s">
        <v>1003</v>
      </c>
      <c r="AL9" s="264">
        <f>'Unit Conversions'!D35</f>
        <v>1000</v>
      </c>
      <c r="AP9" s="159" t="s">
        <v>754</v>
      </c>
      <c r="AQ9" s="158" t="s">
        <v>753</v>
      </c>
      <c r="AR9" s="164" t="str">
        <f t="shared" si="5"/>
        <v>Domestic flight- Within country|miles</v>
      </c>
      <c r="AS9" s="299" t="s">
        <v>1724</v>
      </c>
      <c r="AT9" s="299" t="s">
        <v>1724</v>
      </c>
      <c r="AU9" s="299" t="s">
        <v>1724</v>
      </c>
      <c r="AV9" s="299" t="s">
        <v>1724</v>
      </c>
      <c r="AX9" s="1992"/>
      <c r="AY9" s="1994" t="s">
        <v>1734</v>
      </c>
      <c r="AZ9" s="288" t="s">
        <v>1727</v>
      </c>
      <c r="BA9" s="290" t="s">
        <v>751</v>
      </c>
      <c r="BB9" s="291">
        <v>0.15553</v>
      </c>
      <c r="BC9" s="291">
        <v>0.15475</v>
      </c>
      <c r="BD9" s="291">
        <v>1.0000000000000001E-5</v>
      </c>
      <c r="BE9" s="291">
        <v>7.6999999999999996E-4</v>
      </c>
      <c r="BG9" s="1963"/>
      <c r="BH9" s="123" t="s">
        <v>1735</v>
      </c>
      <c r="BI9" s="123" t="s">
        <v>751</v>
      </c>
      <c r="BJ9" s="295">
        <v>0.129519</v>
      </c>
      <c r="BK9" s="295">
        <v>0.12773899999999999</v>
      </c>
      <c r="BL9" s="295">
        <v>3.8999999999999999E-5</v>
      </c>
      <c r="BM9" s="295">
        <v>1.7409999999999999E-3</v>
      </c>
      <c r="BO9" s="1977"/>
      <c r="BP9" s="1963"/>
      <c r="BQ9" s="123" t="s">
        <v>753</v>
      </c>
      <c r="BR9" s="296">
        <v>0.23254</v>
      </c>
      <c r="BS9" s="296">
        <v>0.23080000000000001</v>
      </c>
      <c r="BT9" s="296">
        <v>3.3E-4</v>
      </c>
      <c r="BU9" s="296">
        <v>1.41E-3</v>
      </c>
      <c r="BW9" s="158" t="s">
        <v>716</v>
      </c>
      <c r="BX9" s="158" t="s">
        <v>713</v>
      </c>
      <c r="BY9" s="158" t="str">
        <f t="shared" si="6"/>
        <v>Van 1.305 to 1.74 tonnes|Petrol</v>
      </c>
      <c r="BZ9" s="377">
        <f>CL10</f>
        <v>0.20791999999999999</v>
      </c>
      <c r="CA9" s="377">
        <f t="shared" ref="CA9:CC9" si="12">CM10</f>
        <v>0.20710999999999999</v>
      </c>
      <c r="CB9" s="377">
        <f t="shared" si="12"/>
        <v>2.4000000000000001E-4</v>
      </c>
      <c r="CC9" s="377">
        <f t="shared" si="12"/>
        <v>5.6999999999999998E-4</v>
      </c>
      <c r="CE9" s="1963"/>
      <c r="CF9" s="1963"/>
      <c r="CG9" s="123" t="s">
        <v>753</v>
      </c>
      <c r="CH9" s="295">
        <v>0.23904</v>
      </c>
      <c r="CI9" s="295">
        <v>0.23608999999999999</v>
      </c>
      <c r="CJ9" s="361">
        <v>1.0000000000000001E-5</v>
      </c>
      <c r="CK9" s="295">
        <v>2.9399999999999999E-3</v>
      </c>
      <c r="CL9" s="336">
        <v>0.33922999999999998</v>
      </c>
      <c r="CM9" s="336">
        <v>0.33793000000000001</v>
      </c>
      <c r="CN9" s="336">
        <v>3.8000000000000002E-4</v>
      </c>
      <c r="CO9" s="336">
        <v>9.2000000000000003E-4</v>
      </c>
      <c r="CP9" s="337"/>
      <c r="CQ9" s="337"/>
      <c r="CR9" s="337"/>
      <c r="CS9" s="340"/>
      <c r="CT9" s="350"/>
      <c r="CU9" s="350"/>
      <c r="CV9" s="350"/>
      <c r="CW9" s="350"/>
      <c r="CX9" s="345"/>
      <c r="CY9" s="1969"/>
      <c r="CZ9" s="1969"/>
      <c r="DA9" s="349" t="s">
        <v>753</v>
      </c>
      <c r="DB9" s="355">
        <v>0.22081999999999999</v>
      </c>
      <c r="DC9" s="332">
        <v>0.21784999999999999</v>
      </c>
      <c r="DD9" s="332">
        <v>1.0000000000000001E-5</v>
      </c>
      <c r="DE9" s="332">
        <v>2.96E-3</v>
      </c>
      <c r="DF9" s="332">
        <v>0.23877000000000001</v>
      </c>
      <c r="DG9" s="332">
        <v>0.23768</v>
      </c>
      <c r="DH9" s="332">
        <v>5.0000000000000001E-4</v>
      </c>
      <c r="DI9" s="332">
        <v>5.9000000000000003E-4</v>
      </c>
      <c r="DK9" s="1967"/>
      <c r="DL9" s="1388" t="s">
        <v>822</v>
      </c>
      <c r="DM9" s="1389">
        <f t="shared" si="8"/>
        <v>298</v>
      </c>
      <c r="DO9" s="1968"/>
      <c r="DP9" s="123" t="s">
        <v>822</v>
      </c>
      <c r="DQ9" s="123" t="s">
        <v>202</v>
      </c>
      <c r="DR9" s="388">
        <v>298</v>
      </c>
      <c r="DV9" s="161" t="s">
        <v>1121</v>
      </c>
      <c r="DW9" s="1414">
        <f t="shared" si="9"/>
        <v>2.7E-2</v>
      </c>
      <c r="DY9" s="1971"/>
      <c r="DZ9" s="402" t="s">
        <v>1120</v>
      </c>
      <c r="EA9" s="402" t="s">
        <v>316</v>
      </c>
      <c r="EB9" s="403">
        <v>79.267799999999994</v>
      </c>
      <c r="EC9" s="405" t="s">
        <v>1736</v>
      </c>
      <c r="ED9" s="405" t="s">
        <v>1736</v>
      </c>
      <c r="EE9" s="405" t="s">
        <v>1736</v>
      </c>
      <c r="EG9" s="158" t="s">
        <v>716</v>
      </c>
      <c r="EH9" s="163" t="s">
        <v>713</v>
      </c>
      <c r="EI9" s="163" t="s">
        <v>197</v>
      </c>
      <c r="EJ9" s="163" t="str">
        <f t="shared" si="10"/>
        <v>Van 1.305 to 1.74 tonnes|Petrol|km</v>
      </c>
      <c r="EK9" s="380">
        <f>EW12</f>
        <v>0.20791999999999999</v>
      </c>
      <c r="EL9" s="380">
        <f t="shared" ref="EL9:EN9" si="13">EX12</f>
        <v>0.20710999999999999</v>
      </c>
      <c r="EM9" s="380">
        <f t="shared" si="13"/>
        <v>2.4000000000000001E-4</v>
      </c>
      <c r="EN9" s="380">
        <f t="shared" si="13"/>
        <v>5.6999999999999998E-4</v>
      </c>
      <c r="EP9" s="1994"/>
      <c r="EQ9" s="1968"/>
      <c r="ER9" s="123" t="s">
        <v>197</v>
      </c>
      <c r="ES9" s="295">
        <v>0.14853</v>
      </c>
      <c r="ET9" s="295">
        <v>0.1467</v>
      </c>
      <c r="EU9" s="295">
        <v>0</v>
      </c>
      <c r="EV9" s="295">
        <v>1.83E-3</v>
      </c>
      <c r="EW9" s="295">
        <v>0.21079000000000001</v>
      </c>
      <c r="EX9" s="295">
        <v>0.20998</v>
      </c>
      <c r="EY9" s="295">
        <v>2.4000000000000001E-4</v>
      </c>
      <c r="EZ9" s="295">
        <v>5.6999999999999998E-4</v>
      </c>
      <c r="FJ9" s="543" t="s">
        <v>1034</v>
      </c>
      <c r="FK9" s="606" t="s">
        <v>202</v>
      </c>
      <c r="FL9" s="739">
        <f t="shared" ref="FL9:FL15" si="14">SUM(FM9,FN9)</f>
        <v>0.89800000000000002</v>
      </c>
      <c r="FM9" s="606">
        <v>0.88</v>
      </c>
      <c r="FN9" s="606">
        <v>1.7999999999999999E-2</v>
      </c>
    </row>
    <row r="10" spans="1:171" ht="17" thickBot="1" x14ac:dyDescent="0.4">
      <c r="A10" s="1979"/>
      <c r="B10" s="158" t="s">
        <v>564</v>
      </c>
      <c r="C10" s="161" t="s">
        <v>581</v>
      </c>
      <c r="D10" s="159" t="str">
        <f t="shared" si="0"/>
        <v>Natural gas|Cubic metres (m3)</v>
      </c>
      <c r="E10" s="1276">
        <f>M28</f>
        <v>2.03017</v>
      </c>
      <c r="F10" s="1276">
        <f>N28</f>
        <v>2.0264000000000002</v>
      </c>
      <c r="G10" s="1276">
        <f>O28</f>
        <v>2.7100000000000002E-3</v>
      </c>
      <c r="H10" s="1276">
        <f>P28</f>
        <v>1.07E-3</v>
      </c>
      <c r="J10" s="1373"/>
      <c r="K10" s="1377"/>
      <c r="L10" s="123" t="s">
        <v>1737</v>
      </c>
      <c r="M10" s="1379">
        <v>0.22239999999999999</v>
      </c>
      <c r="N10" s="1379">
        <v>0.22209999999999999</v>
      </c>
      <c r="O10" s="1379">
        <v>1.7000000000000001E-4</v>
      </c>
      <c r="P10" s="1379">
        <v>1.2999999999999999E-4</v>
      </c>
      <c r="R10" s="150"/>
      <c r="S10" s="151" t="s">
        <v>601</v>
      </c>
      <c r="T10" s="123" t="s">
        <v>199</v>
      </c>
      <c r="U10" s="126">
        <v>0.1658</v>
      </c>
      <c r="Y10" s="244" t="s">
        <v>809</v>
      </c>
      <c r="Z10" s="244">
        <v>0.125</v>
      </c>
      <c r="AA10" s="244" t="str">
        <f t="shared" si="4"/>
        <v>Isoflurane/AErrane|0.125</v>
      </c>
      <c r="AB10" s="244" t="s">
        <v>1723</v>
      </c>
      <c r="AD10" s="243" t="s">
        <v>818</v>
      </c>
      <c r="AE10" s="634">
        <f>'Anaesthetics properties'!J8-('Anaesthetics properties'!J8*'Anaesthetics properties'!B16)</f>
        <v>40</v>
      </c>
      <c r="AK10" s="265" t="s">
        <v>1006</v>
      </c>
      <c r="AL10" s="266">
        <f>'Unit Conversions'!D37</f>
        <v>4.5460900061812275</v>
      </c>
      <c r="AP10" s="159" t="s">
        <v>756</v>
      </c>
      <c r="AQ10" s="158" t="s">
        <v>751</v>
      </c>
      <c r="AR10" s="164" t="str">
        <f t="shared" si="5"/>
        <v>International flights-Unknown class|passenger.km</v>
      </c>
      <c r="AS10" s="299">
        <f>BB17</f>
        <v>0.18181000000000003</v>
      </c>
      <c r="AT10" s="299">
        <f t="shared" ref="AT10:AV10" si="15">BC17</f>
        <v>0.18090000000000001</v>
      </c>
      <c r="AU10" s="299">
        <f t="shared" si="15"/>
        <v>1.0000000000000001E-5</v>
      </c>
      <c r="AV10" s="299">
        <f t="shared" si="15"/>
        <v>8.9999999999999998E-4</v>
      </c>
      <c r="AX10" s="1992"/>
      <c r="AY10" s="1994"/>
      <c r="AZ10" s="288" t="s">
        <v>1738</v>
      </c>
      <c r="BA10" s="290" t="s">
        <v>751</v>
      </c>
      <c r="BB10" s="291">
        <v>0.15298000000000003</v>
      </c>
      <c r="BC10" s="291">
        <v>0.15221000000000001</v>
      </c>
      <c r="BD10" s="291">
        <v>1.0000000000000001E-5</v>
      </c>
      <c r="BE10" s="291">
        <v>7.6000000000000004E-4</v>
      </c>
      <c r="BG10" s="1963"/>
      <c r="BH10" s="123" t="s">
        <v>1739</v>
      </c>
      <c r="BI10" s="123" t="s">
        <v>751</v>
      </c>
      <c r="BJ10" s="295">
        <v>0.11286400000000001</v>
      </c>
      <c r="BK10" s="295">
        <v>0.111313</v>
      </c>
      <c r="BL10" s="295">
        <v>3.4E-5</v>
      </c>
      <c r="BM10" s="295">
        <v>1.5169999999999999E-3</v>
      </c>
      <c r="BO10" s="1977"/>
      <c r="BP10" s="1963" t="s">
        <v>702</v>
      </c>
      <c r="BQ10" s="123" t="s">
        <v>197</v>
      </c>
      <c r="BR10" s="296">
        <v>0.17571000000000001</v>
      </c>
      <c r="BS10" s="296">
        <v>0.1744</v>
      </c>
      <c r="BT10" s="296">
        <v>1.4999999999999999E-4</v>
      </c>
      <c r="BU10" s="296">
        <v>1.16E-3</v>
      </c>
      <c r="BW10" s="158" t="s">
        <v>716</v>
      </c>
      <c r="BX10" s="158" t="s">
        <v>715</v>
      </c>
      <c r="BY10" s="158" t="str">
        <f t="shared" si="6"/>
        <v>Van 1.305 to 1.74 tonnes|Diesel</v>
      </c>
      <c r="BZ10" s="377">
        <f>CH10</f>
        <v>0.189</v>
      </c>
      <c r="CA10" s="377">
        <f t="shared" ref="CA10:CC10" si="16">CI10</f>
        <v>0.18717</v>
      </c>
      <c r="CB10" s="377">
        <f t="shared" si="16"/>
        <v>0</v>
      </c>
      <c r="CC10" s="377">
        <f t="shared" si="16"/>
        <v>1.83E-3</v>
      </c>
      <c r="CE10" s="1963"/>
      <c r="CF10" s="1963" t="s">
        <v>1740</v>
      </c>
      <c r="CG10" s="123" t="s">
        <v>197</v>
      </c>
      <c r="CH10" s="295">
        <v>0.189</v>
      </c>
      <c r="CI10" s="295">
        <v>0.18717</v>
      </c>
      <c r="CJ10" s="361">
        <v>0</v>
      </c>
      <c r="CK10" s="295">
        <v>1.83E-3</v>
      </c>
      <c r="CL10" s="336">
        <v>0.20791999999999999</v>
      </c>
      <c r="CM10" s="336">
        <v>0.20710999999999999</v>
      </c>
      <c r="CN10" s="336">
        <v>2.4000000000000001E-4</v>
      </c>
      <c r="CO10" s="336">
        <v>5.6999999999999998E-4</v>
      </c>
      <c r="CP10" s="337"/>
      <c r="CQ10" s="337"/>
      <c r="CR10" s="337"/>
      <c r="CS10" s="340"/>
      <c r="CT10" s="350"/>
      <c r="CU10" s="350"/>
      <c r="CV10" s="350"/>
      <c r="CW10" s="350"/>
      <c r="CX10" s="345"/>
      <c r="CY10" s="1969"/>
      <c r="CZ10" s="1969" t="s">
        <v>702</v>
      </c>
      <c r="DA10" s="349" t="s">
        <v>197</v>
      </c>
      <c r="DB10" s="355">
        <v>0.16636999999999999</v>
      </c>
      <c r="DC10" s="332">
        <v>0.16453000000000001</v>
      </c>
      <c r="DD10" s="332">
        <v>3.49E-6</v>
      </c>
      <c r="DE10" s="332">
        <v>1.8400000000000001E-3</v>
      </c>
      <c r="DF10" s="332">
        <v>0.18659000000000001</v>
      </c>
      <c r="DG10" s="332">
        <v>0.18592</v>
      </c>
      <c r="DH10" s="332">
        <v>3.1E-4</v>
      </c>
      <c r="DI10" s="332">
        <v>3.6000000000000002E-4</v>
      </c>
      <c r="DK10" s="1967"/>
      <c r="DL10" s="1388" t="s">
        <v>874</v>
      </c>
      <c r="DM10" s="1389">
        <f t="shared" si="8"/>
        <v>14800</v>
      </c>
      <c r="DO10" s="1968"/>
      <c r="DP10" s="123" t="s">
        <v>874</v>
      </c>
      <c r="DQ10" s="123" t="s">
        <v>202</v>
      </c>
      <c r="DR10" s="388">
        <v>14800</v>
      </c>
      <c r="DV10" s="161" t="s">
        <v>1122</v>
      </c>
      <c r="DW10" s="1414">
        <f t="shared" si="9"/>
        <v>3.9212499999999997E-2</v>
      </c>
      <c r="DY10" s="1971"/>
      <c r="DZ10" s="402" t="s">
        <v>1121</v>
      </c>
      <c r="EA10" s="402" t="s">
        <v>316</v>
      </c>
      <c r="EB10" s="403">
        <v>27</v>
      </c>
      <c r="EC10" s="405" t="s">
        <v>1736</v>
      </c>
      <c r="ED10" s="405" t="s">
        <v>1736</v>
      </c>
      <c r="EE10" s="405" t="s">
        <v>1736</v>
      </c>
      <c r="EG10" s="158" t="s">
        <v>716</v>
      </c>
      <c r="EH10" s="158" t="s">
        <v>715</v>
      </c>
      <c r="EI10" s="163" t="s">
        <v>197</v>
      </c>
      <c r="EJ10" s="163" t="str">
        <f t="shared" si="10"/>
        <v>Van 1.305 to 1.74 tonnes|Diesel|km</v>
      </c>
      <c r="EK10" s="380">
        <f>ES12</f>
        <v>0.189</v>
      </c>
      <c r="EL10" s="380">
        <f t="shared" ref="EL10:EN10" si="17">ET12</f>
        <v>0.18717</v>
      </c>
      <c r="EM10" s="380">
        <f t="shared" si="17"/>
        <v>0</v>
      </c>
      <c r="EN10" s="380">
        <f t="shared" si="17"/>
        <v>1.83E-3</v>
      </c>
      <c r="EP10" s="1994"/>
      <c r="EQ10" s="1968"/>
      <c r="ER10" s="123" t="s">
        <v>753</v>
      </c>
      <c r="ES10" s="295">
        <v>0.23904</v>
      </c>
      <c r="ET10" s="295">
        <v>0.23608999999999999</v>
      </c>
      <c r="EU10" s="295">
        <v>1.0000000000000001E-5</v>
      </c>
      <c r="EV10" s="295">
        <v>2.9399999999999999E-3</v>
      </c>
      <c r="EW10" s="295">
        <v>0.33922999999999998</v>
      </c>
      <c r="EX10" s="295">
        <v>0.33793000000000001</v>
      </c>
      <c r="EY10" s="295">
        <v>3.8000000000000002E-4</v>
      </c>
      <c r="EZ10" s="295">
        <v>9.2000000000000003E-4</v>
      </c>
      <c r="FJ10" s="543" t="s">
        <v>1037</v>
      </c>
      <c r="FK10" s="606" t="s">
        <v>202</v>
      </c>
      <c r="FL10" s="739">
        <f t="shared" si="14"/>
        <v>0.89800000000000002</v>
      </c>
      <c r="FM10" s="606">
        <v>0.88</v>
      </c>
      <c r="FN10" s="606">
        <v>1.7999999999999999E-2</v>
      </c>
    </row>
    <row r="11" spans="1:171" ht="15" thickBot="1" x14ac:dyDescent="0.4">
      <c r="A11" s="1979"/>
      <c r="B11" s="158" t="s">
        <v>570</v>
      </c>
      <c r="C11" s="159" t="s">
        <v>563</v>
      </c>
      <c r="D11" s="159" t="str">
        <f t="shared" si="0"/>
        <v>Biogas|Kilowatt hours (KWh)</v>
      </c>
      <c r="E11" s="1276">
        <f>U35</f>
        <v>2.1000000000000001E-4</v>
      </c>
      <c r="F11" s="1276">
        <f t="shared" ref="F11:H11" si="18">V35</f>
        <v>0</v>
      </c>
      <c r="G11" s="1276">
        <f t="shared" si="18"/>
        <v>0</v>
      </c>
      <c r="H11" s="1276">
        <f t="shared" si="18"/>
        <v>0</v>
      </c>
      <c r="J11" s="1373" t="s">
        <v>1714</v>
      </c>
      <c r="K11" s="1371" t="s">
        <v>1704</v>
      </c>
      <c r="L11" s="123" t="s">
        <v>316</v>
      </c>
      <c r="M11" s="125">
        <v>2533</v>
      </c>
      <c r="N11" s="125">
        <v>2528.2600000000002</v>
      </c>
      <c r="O11" s="125">
        <v>3.4</v>
      </c>
      <c r="P11" s="125">
        <v>1.33</v>
      </c>
      <c r="R11" s="150"/>
      <c r="S11" s="151"/>
      <c r="T11" s="123" t="s">
        <v>1722</v>
      </c>
      <c r="U11" s="126">
        <v>5.0079700000000003</v>
      </c>
      <c r="Y11" s="244" t="s">
        <v>809</v>
      </c>
      <c r="Z11" s="244">
        <v>0.1</v>
      </c>
      <c r="AA11" s="244" t="str">
        <f t="shared" si="4"/>
        <v>Isoflurane/AErrane|0.1</v>
      </c>
      <c r="AB11" s="244">
        <v>0.14799999999999999</v>
      </c>
      <c r="AD11" s="243" t="s">
        <v>821</v>
      </c>
      <c r="AE11" s="634">
        <f>'Anaesthetics properties'!E9-('Anaesthetics properties'!E9*'Anaesthetics properties'!B17)</f>
        <v>795.6</v>
      </c>
      <c r="AP11" s="159" t="s">
        <v>756</v>
      </c>
      <c r="AQ11" s="158" t="s">
        <v>197</v>
      </c>
      <c r="AR11" s="164" t="str">
        <f t="shared" si="5"/>
        <v>International flights-Unknown class|km</v>
      </c>
      <c r="AS11" s="299" t="s">
        <v>1724</v>
      </c>
      <c r="AT11" s="299" t="s">
        <v>1724</v>
      </c>
      <c r="AU11" s="299" t="s">
        <v>1724</v>
      </c>
      <c r="AV11" s="299" t="s">
        <v>1724</v>
      </c>
      <c r="AX11" s="1992"/>
      <c r="AY11" s="1994"/>
      <c r="AZ11" s="288" t="s">
        <v>1741</v>
      </c>
      <c r="BA11" s="290" t="s">
        <v>751</v>
      </c>
      <c r="BB11" s="291">
        <v>0.22947000000000001</v>
      </c>
      <c r="BC11" s="291">
        <v>0.22832</v>
      </c>
      <c r="BD11" s="291">
        <v>1.0000000000000001E-5</v>
      </c>
      <c r="BE11" s="291">
        <v>1.14E-3</v>
      </c>
      <c r="BO11" s="1977"/>
      <c r="BP11" s="1963"/>
      <c r="BQ11" s="123" t="s">
        <v>753</v>
      </c>
      <c r="BR11" s="296">
        <v>0.28275999999999996</v>
      </c>
      <c r="BS11" s="296">
        <v>0.28066999999999998</v>
      </c>
      <c r="BT11" s="296">
        <v>2.3000000000000001E-4</v>
      </c>
      <c r="BU11" s="296">
        <v>1.8600000000000001E-3</v>
      </c>
      <c r="BW11" s="158" t="s">
        <v>717</v>
      </c>
      <c r="BX11" s="158" t="s">
        <v>713</v>
      </c>
      <c r="BY11" s="158" t="str">
        <f t="shared" si="6"/>
        <v>Van 1.74 to 3.5 tonnes|Petrol</v>
      </c>
      <c r="BZ11" s="377">
        <f>CL12</f>
        <v>0.33276</v>
      </c>
      <c r="CA11" s="377">
        <f t="shared" ref="CA11:CC11" si="19">CM12</f>
        <v>0.33195000000000002</v>
      </c>
      <c r="CB11" s="377">
        <f t="shared" si="19"/>
        <v>2.4000000000000001E-4</v>
      </c>
      <c r="CC11" s="377">
        <f t="shared" si="19"/>
        <v>5.6999999999999998E-4</v>
      </c>
      <c r="CE11" s="1963"/>
      <c r="CF11" s="1963"/>
      <c r="CG11" s="123" t="s">
        <v>753</v>
      </c>
      <c r="CH11" s="295">
        <v>0.30415999999999999</v>
      </c>
      <c r="CI11" s="295">
        <v>0.30121999999999999</v>
      </c>
      <c r="CJ11" s="361">
        <v>1.0000000000000001E-5</v>
      </c>
      <c r="CK11" s="295">
        <v>2.9399999999999999E-3</v>
      </c>
      <c r="CL11" s="336">
        <v>0.33461000000000002</v>
      </c>
      <c r="CM11" s="336">
        <v>0.33331</v>
      </c>
      <c r="CN11" s="336">
        <v>3.8000000000000002E-4</v>
      </c>
      <c r="CO11" s="336">
        <v>9.2000000000000003E-4</v>
      </c>
      <c r="CP11" s="337"/>
      <c r="CQ11" s="337"/>
      <c r="CR11" s="337"/>
      <c r="CS11" s="340"/>
      <c r="CT11" s="350"/>
      <c r="CU11" s="350"/>
      <c r="CV11" s="350"/>
      <c r="CW11" s="350"/>
      <c r="CX11" s="345"/>
      <c r="CY11" s="1969"/>
      <c r="CZ11" s="1969"/>
      <c r="DA11" s="349" t="s">
        <v>753</v>
      </c>
      <c r="DB11" s="355">
        <v>0.26775000000000004</v>
      </c>
      <c r="DC11" s="332">
        <v>0.26478000000000002</v>
      </c>
      <c r="DD11" s="332">
        <v>1.0000000000000001E-5</v>
      </c>
      <c r="DE11" s="332">
        <v>2.96E-3</v>
      </c>
      <c r="DF11" s="332">
        <v>0.30029</v>
      </c>
      <c r="DG11" s="332">
        <v>0.29920000000000002</v>
      </c>
      <c r="DH11" s="332">
        <v>5.0000000000000001E-4</v>
      </c>
      <c r="DI11" s="332">
        <v>5.9000000000000003E-4</v>
      </c>
      <c r="DK11" s="1967"/>
      <c r="DL11" s="1388" t="s">
        <v>877</v>
      </c>
      <c r="DM11" s="1389">
        <f t="shared" si="8"/>
        <v>675</v>
      </c>
      <c r="DO11" s="1968"/>
      <c r="DP11" s="123" t="s">
        <v>877</v>
      </c>
      <c r="DQ11" s="123" t="s">
        <v>202</v>
      </c>
      <c r="DR11" s="388">
        <v>675</v>
      </c>
      <c r="DV11" s="161" t="s">
        <v>1123</v>
      </c>
      <c r="DW11" s="1414">
        <f t="shared" si="9"/>
        <v>0.2417726</v>
      </c>
      <c r="DY11" s="1971"/>
      <c r="DZ11" s="402" t="s">
        <v>1122</v>
      </c>
      <c r="EA11" s="402" t="s">
        <v>316</v>
      </c>
      <c r="EB11" s="403">
        <v>39.212499999999999</v>
      </c>
      <c r="EC11" s="403">
        <v>1.7383</v>
      </c>
      <c r="ED11" s="405" t="s">
        <v>1736</v>
      </c>
      <c r="EE11" s="403">
        <v>28.666799999999999</v>
      </c>
      <c r="EG11" s="158" t="s">
        <v>717</v>
      </c>
      <c r="EH11" s="163" t="s">
        <v>713</v>
      </c>
      <c r="EI11" s="163" t="s">
        <v>197</v>
      </c>
      <c r="EJ11" s="163" t="str">
        <f t="shared" si="10"/>
        <v>Van 1.74 to 3.5 tonnes|Petrol|km</v>
      </c>
      <c r="EK11" s="377">
        <f>EW15</f>
        <v>0.33276</v>
      </c>
      <c r="EL11" s="377">
        <f t="shared" ref="EL11:EN11" si="20">EX15</f>
        <v>0.33195000000000002</v>
      </c>
      <c r="EM11" s="377">
        <f t="shared" si="20"/>
        <v>2.4000000000000001E-4</v>
      </c>
      <c r="EN11" s="377">
        <f t="shared" si="20"/>
        <v>5.6999999999999998E-4</v>
      </c>
      <c r="EP11" s="1994"/>
      <c r="EQ11" s="1968" t="s">
        <v>1740</v>
      </c>
      <c r="ER11" s="123" t="s">
        <v>1093</v>
      </c>
      <c r="ES11" s="295">
        <v>0.65430999999999995</v>
      </c>
      <c r="ET11" s="295">
        <v>0.64797000000000005</v>
      </c>
      <c r="EU11" s="295">
        <v>2.0000000000000002E-5</v>
      </c>
      <c r="EV11" s="295">
        <v>6.3299999999999997E-3</v>
      </c>
      <c r="EW11" s="295">
        <v>0.73972000000000004</v>
      </c>
      <c r="EX11" s="295">
        <v>0.73684000000000005</v>
      </c>
      <c r="EY11" s="295">
        <v>8.4999999999999995E-4</v>
      </c>
      <c r="EZ11" s="295">
        <v>2.0300000000000001E-3</v>
      </c>
      <c r="FJ11" s="543" t="s">
        <v>1039</v>
      </c>
      <c r="FK11" s="606" t="s">
        <v>202</v>
      </c>
      <c r="FL11" s="739">
        <f t="shared" si="14"/>
        <v>0.88427</v>
      </c>
      <c r="FM11" s="606">
        <v>0.88427</v>
      </c>
      <c r="FN11" s="606"/>
    </row>
    <row r="12" spans="1:171" ht="15" thickBot="1" x14ac:dyDescent="0.4">
      <c r="A12" s="1979"/>
      <c r="B12" s="158" t="s">
        <v>570</v>
      </c>
      <c r="C12" s="159" t="s">
        <v>575</v>
      </c>
      <c r="D12" s="159" t="str">
        <f t="shared" si="0"/>
        <v>Biogas|Litres (l)</v>
      </c>
      <c r="E12" s="1277">
        <f>(E13*1000)/'Fuel properties'!H42</f>
        <v>1.3698225006164201E-6</v>
      </c>
      <c r="F12" s="1277">
        <f>(F13*1000)/'Fuel properties'!H42</f>
        <v>0</v>
      </c>
      <c r="G12" s="1277">
        <f>(G13*1000)/'Fuel properties'!H42</f>
        <v>0</v>
      </c>
      <c r="H12" s="1277">
        <f>(H13*1000)/'Fuel properties'!H42</f>
        <v>0</v>
      </c>
      <c r="J12" s="1373"/>
      <c r="K12" s="1371"/>
      <c r="L12" s="123" t="s">
        <v>199</v>
      </c>
      <c r="M12" s="126">
        <v>0.44327</v>
      </c>
      <c r="N12" s="126">
        <v>0.44245000000000001</v>
      </c>
      <c r="O12" s="126">
        <v>5.9000000000000003E-4</v>
      </c>
      <c r="P12" s="126">
        <v>2.3000000000000001E-4</v>
      </c>
      <c r="R12" s="150"/>
      <c r="S12" s="151"/>
      <c r="T12" s="123" t="s">
        <v>202</v>
      </c>
      <c r="U12" s="126">
        <v>0.18629999999999999</v>
      </c>
      <c r="Y12" s="244" t="s">
        <v>809</v>
      </c>
      <c r="Z12" s="244">
        <v>0.05</v>
      </c>
      <c r="AA12" s="244" t="str">
        <f t="shared" si="4"/>
        <v>Isoflurane/AErrane|0.05</v>
      </c>
      <c r="AB12" s="244" t="s">
        <v>1723</v>
      </c>
      <c r="AD12" s="243" t="s">
        <v>1742</v>
      </c>
      <c r="AE12" s="634">
        <v>265</v>
      </c>
      <c r="AK12" s="251" t="s">
        <v>1743</v>
      </c>
      <c r="AL12" s="252" t="s">
        <v>1088</v>
      </c>
      <c r="AM12" s="252" t="s">
        <v>1683</v>
      </c>
      <c r="AN12" s="253" t="s">
        <v>1708</v>
      </c>
      <c r="AP12" s="159" t="s">
        <v>756</v>
      </c>
      <c r="AQ12" s="158" t="s">
        <v>753</v>
      </c>
      <c r="AR12" s="164" t="str">
        <f t="shared" si="5"/>
        <v>International flights-Unknown class|miles</v>
      </c>
      <c r="AS12" s="299" t="s">
        <v>1724</v>
      </c>
      <c r="AT12" s="299" t="s">
        <v>1724</v>
      </c>
      <c r="AU12" s="299" t="s">
        <v>1724</v>
      </c>
      <c r="AV12" s="299" t="s">
        <v>1724</v>
      </c>
      <c r="AX12" s="1992"/>
      <c r="AY12" s="1994" t="s">
        <v>1744</v>
      </c>
      <c r="AZ12" s="288" t="s">
        <v>1727</v>
      </c>
      <c r="BA12" s="290" t="s">
        <v>751</v>
      </c>
      <c r="BB12" s="291">
        <v>0.19085000000000002</v>
      </c>
      <c r="BC12" s="292">
        <v>0.18989</v>
      </c>
      <c r="BD12" s="291">
        <v>1.0000000000000001E-5</v>
      </c>
      <c r="BE12" s="291">
        <v>9.5E-4</v>
      </c>
      <c r="BO12" s="1977"/>
      <c r="BP12" s="1963" t="s">
        <v>705</v>
      </c>
      <c r="BQ12" s="123" t="s">
        <v>197</v>
      </c>
      <c r="BR12" s="296">
        <v>0.22320999999999999</v>
      </c>
      <c r="BS12" s="296">
        <v>0.22167000000000001</v>
      </c>
      <c r="BT12" s="296">
        <v>8.0000000000000007E-5</v>
      </c>
      <c r="BU12" s="296">
        <v>1.4599999999999999E-3</v>
      </c>
      <c r="BW12" s="158" t="s">
        <v>717</v>
      </c>
      <c r="BX12" s="158" t="s">
        <v>715</v>
      </c>
      <c r="BY12" s="158" t="str">
        <f t="shared" si="6"/>
        <v>Van 1.74 to 3.5 tonnes|Diesel</v>
      </c>
      <c r="BZ12" s="377">
        <f>CH12</f>
        <v>0.27171000000000001</v>
      </c>
      <c r="CA12" s="377">
        <f t="shared" ref="CA12:CC12" si="21">CI12</f>
        <v>0.26988000000000001</v>
      </c>
      <c r="CB12" s="377">
        <f t="shared" si="21"/>
        <v>0</v>
      </c>
      <c r="CC12" s="377">
        <f t="shared" si="21"/>
        <v>1.83E-3</v>
      </c>
      <c r="CE12" s="1963"/>
      <c r="CF12" s="1963" t="s">
        <v>1745</v>
      </c>
      <c r="CG12" s="123" t="s">
        <v>197</v>
      </c>
      <c r="CH12" s="295">
        <v>0.27171000000000001</v>
      </c>
      <c r="CI12" s="295">
        <v>0.26988000000000001</v>
      </c>
      <c r="CJ12" s="361">
        <v>0</v>
      </c>
      <c r="CK12" s="295">
        <v>1.83E-3</v>
      </c>
      <c r="CL12" s="336">
        <v>0.33276</v>
      </c>
      <c r="CM12" s="336">
        <v>0.33195000000000002</v>
      </c>
      <c r="CN12" s="336">
        <v>2.4000000000000001E-4</v>
      </c>
      <c r="CO12" s="336">
        <v>5.6999999999999998E-4</v>
      </c>
      <c r="CP12" s="337"/>
      <c r="CQ12" s="337"/>
      <c r="CR12" s="337"/>
      <c r="CS12" s="340"/>
      <c r="CT12" s="350"/>
      <c r="CU12" s="350"/>
      <c r="CV12" s="350"/>
      <c r="CW12" s="350"/>
      <c r="CX12" s="345"/>
      <c r="CY12" s="1969"/>
      <c r="CZ12" s="1969" t="s">
        <v>705</v>
      </c>
      <c r="DA12" s="349" t="s">
        <v>197</v>
      </c>
      <c r="DB12" s="355">
        <v>0.20419000000000001</v>
      </c>
      <c r="DC12" s="332">
        <v>0.20235</v>
      </c>
      <c r="DD12" s="332">
        <v>3.49E-6</v>
      </c>
      <c r="DE12" s="332">
        <v>1.8400000000000001E-3</v>
      </c>
      <c r="DF12" s="332">
        <v>0.27806999999999998</v>
      </c>
      <c r="DG12" s="332">
        <v>0.27739999999999998</v>
      </c>
      <c r="DH12" s="332">
        <v>3.1E-4</v>
      </c>
      <c r="DI12" s="332">
        <v>3.6000000000000002E-4</v>
      </c>
      <c r="DK12" s="1967"/>
      <c r="DL12" s="1388" t="s">
        <v>879</v>
      </c>
      <c r="DM12" s="1389">
        <f t="shared" si="8"/>
        <v>92</v>
      </c>
      <c r="DO12" s="1968"/>
      <c r="DP12" s="123" t="s">
        <v>879</v>
      </c>
      <c r="DQ12" s="123" t="s">
        <v>202</v>
      </c>
      <c r="DR12" s="388">
        <v>92</v>
      </c>
      <c r="DV12" s="161" t="s">
        <v>1124</v>
      </c>
      <c r="DW12" s="1414">
        <f t="shared" si="9"/>
        <v>0.13177260000000002</v>
      </c>
      <c r="DY12" s="1971"/>
      <c r="DZ12" s="402" t="s">
        <v>1123</v>
      </c>
      <c r="EA12" s="402" t="s">
        <v>316</v>
      </c>
      <c r="EB12" s="403">
        <v>241.77260000000001</v>
      </c>
      <c r="EC12" s="405" t="s">
        <v>1736</v>
      </c>
      <c r="ED12" s="403">
        <v>3.2067999999999999</v>
      </c>
      <c r="EE12" s="405" t="s">
        <v>1736</v>
      </c>
      <c r="EG12" s="158" t="s">
        <v>717</v>
      </c>
      <c r="EH12" s="158" t="s">
        <v>715</v>
      </c>
      <c r="EI12" s="163" t="s">
        <v>197</v>
      </c>
      <c r="EJ12" s="163" t="str">
        <f t="shared" si="10"/>
        <v>Van 1.74 to 3.5 tonnes|Diesel|km</v>
      </c>
      <c r="EK12" s="377">
        <f>ES15</f>
        <v>0.27171000000000001</v>
      </c>
      <c r="EL12" s="377">
        <f t="shared" ref="EL12:EN12" si="22">ET15</f>
        <v>0.26988000000000001</v>
      </c>
      <c r="EM12" s="377">
        <f t="shared" si="22"/>
        <v>0</v>
      </c>
      <c r="EN12" s="377">
        <f t="shared" si="22"/>
        <v>1.83E-3</v>
      </c>
      <c r="EP12" s="1994"/>
      <c r="EQ12" s="1968"/>
      <c r="ER12" s="123" t="s">
        <v>197</v>
      </c>
      <c r="ES12" s="295">
        <v>0.189</v>
      </c>
      <c r="ET12" s="295">
        <v>0.18717</v>
      </c>
      <c r="EU12" s="332">
        <v>0</v>
      </c>
      <c r="EV12" s="295">
        <v>1.83E-3</v>
      </c>
      <c r="EW12" s="295">
        <v>0.20791999999999999</v>
      </c>
      <c r="EX12" s="295">
        <v>0.20710999999999999</v>
      </c>
      <c r="EY12" s="295">
        <v>2.4000000000000001E-4</v>
      </c>
      <c r="EZ12" s="295">
        <v>5.6999999999999998E-4</v>
      </c>
      <c r="FJ12" s="543" t="s">
        <v>1041</v>
      </c>
      <c r="FK12" s="606" t="s">
        <v>202</v>
      </c>
      <c r="FL12" s="739">
        <f t="shared" si="14"/>
        <v>0</v>
      </c>
      <c r="FM12" s="606">
        <v>0</v>
      </c>
      <c r="FN12" s="606"/>
    </row>
    <row r="13" spans="1:171" x14ac:dyDescent="0.35">
      <c r="A13" s="1979"/>
      <c r="B13" s="158" t="s">
        <v>570</v>
      </c>
      <c r="C13" s="159" t="s">
        <v>569</v>
      </c>
      <c r="D13" s="159" t="str">
        <f t="shared" si="0"/>
        <v>Biogas|Kilograms (kg)</v>
      </c>
      <c r="E13" s="1275">
        <f>U34/1000</f>
        <v>1.19115E-3</v>
      </c>
      <c r="F13" s="1275">
        <f t="shared" ref="F13:H13" si="23">V34/1000</f>
        <v>0</v>
      </c>
      <c r="G13" s="1275">
        <f t="shared" si="23"/>
        <v>0</v>
      </c>
      <c r="H13" s="1275">
        <f t="shared" si="23"/>
        <v>0</v>
      </c>
      <c r="J13" s="1373"/>
      <c r="K13" s="1371"/>
      <c r="L13" s="123" t="s">
        <v>1733</v>
      </c>
      <c r="M13" s="126">
        <v>0.20374</v>
      </c>
      <c r="N13" s="126">
        <v>0.20336000000000001</v>
      </c>
      <c r="O13" s="126">
        <v>2.7E-4</v>
      </c>
      <c r="P13" s="126">
        <v>1.1E-4</v>
      </c>
      <c r="R13" s="150"/>
      <c r="S13" s="151" t="s">
        <v>576</v>
      </c>
      <c r="T13" s="123" t="s">
        <v>199</v>
      </c>
      <c r="U13" s="148" t="s">
        <v>1746</v>
      </c>
      <c r="Y13" s="244" t="s">
        <v>809</v>
      </c>
      <c r="Z13" s="244">
        <v>0.03</v>
      </c>
      <c r="AA13" s="244" t="str">
        <f t="shared" si="4"/>
        <v>Isoflurane/AErrane|0.03</v>
      </c>
      <c r="AB13" s="244" t="s">
        <v>1723</v>
      </c>
      <c r="AK13" s="254" t="s">
        <v>1747</v>
      </c>
      <c r="AL13" s="282" t="s">
        <v>1007</v>
      </c>
      <c r="AM13" s="199"/>
      <c r="AN13" s="387"/>
      <c r="AP13" s="159" t="s">
        <v>758</v>
      </c>
      <c r="AQ13" s="158" t="s">
        <v>751</v>
      </c>
      <c r="AR13" s="164" t="str">
        <f t="shared" si="5"/>
        <v>International flights-Economy class|passenger.km</v>
      </c>
      <c r="AS13" s="299">
        <f>BB18</f>
        <v>0.13924520000000001</v>
      </c>
      <c r="AT13" s="299">
        <f t="shared" ref="AT13:AV13" si="24">BC18</f>
        <v>0.13855000000000001</v>
      </c>
      <c r="AU13" s="299">
        <f t="shared" si="24"/>
        <v>5.2000000000000002E-6</v>
      </c>
      <c r="AV13" s="299">
        <f t="shared" si="24"/>
        <v>6.8999999999999997E-4</v>
      </c>
      <c r="AX13" s="1992"/>
      <c r="AY13" s="1994"/>
      <c r="AZ13" s="288" t="s">
        <v>1738</v>
      </c>
      <c r="BA13" s="290" t="s">
        <v>751</v>
      </c>
      <c r="BB13" s="291">
        <v>0.14615</v>
      </c>
      <c r="BC13" s="291">
        <v>0.14541999999999999</v>
      </c>
      <c r="BD13" s="291">
        <v>1.0000000000000001E-5</v>
      </c>
      <c r="BE13" s="291">
        <v>7.2000000000000005E-4</v>
      </c>
      <c r="BO13" s="1978"/>
      <c r="BP13" s="1963"/>
      <c r="BQ13" s="123" t="s">
        <v>753</v>
      </c>
      <c r="BR13" s="296">
        <v>0.35923000000000005</v>
      </c>
      <c r="BS13" s="296">
        <v>0.35675000000000001</v>
      </c>
      <c r="BT13" s="296">
        <v>1.2999999999999999E-4</v>
      </c>
      <c r="BU13" s="296">
        <v>2.3500000000000001E-3</v>
      </c>
      <c r="BW13" s="158" t="s">
        <v>719</v>
      </c>
      <c r="BX13" s="158" t="s">
        <v>713</v>
      </c>
      <c r="BY13" s="158" t="str">
        <f t="shared" si="6"/>
        <v>Truck, rigid axel &gt;3.5 - 7.5 tonnes|Petrol</v>
      </c>
      <c r="BZ13" s="377" t="s">
        <v>1748</v>
      </c>
      <c r="CA13" s="377" t="s">
        <v>1748</v>
      </c>
      <c r="CB13" s="377" t="s">
        <v>1748</v>
      </c>
      <c r="CC13" s="377" t="s">
        <v>1748</v>
      </c>
      <c r="CE13" s="1963"/>
      <c r="CF13" s="1963"/>
      <c r="CG13" s="123" t="s">
        <v>753</v>
      </c>
      <c r="CH13" s="295">
        <v>0.43726999999999999</v>
      </c>
      <c r="CI13" s="295">
        <v>0.43431999999999998</v>
      </c>
      <c r="CJ13" s="361">
        <v>1.0000000000000001E-5</v>
      </c>
      <c r="CK13" s="295">
        <v>2.9399999999999999E-3</v>
      </c>
      <c r="CL13" s="336">
        <v>0.53552</v>
      </c>
      <c r="CM13" s="336">
        <v>0.53422000000000003</v>
      </c>
      <c r="CN13" s="336">
        <v>3.8000000000000002E-4</v>
      </c>
      <c r="CO13" s="336">
        <v>9.2000000000000003E-4</v>
      </c>
      <c r="CP13" s="337"/>
      <c r="CQ13" s="337"/>
      <c r="CR13" s="337"/>
      <c r="CS13" s="340"/>
      <c r="CT13" s="350"/>
      <c r="CU13" s="350"/>
      <c r="CV13" s="350"/>
      <c r="CW13" s="350"/>
      <c r="CX13" s="345"/>
      <c r="CY13" s="1969"/>
      <c r="CZ13" s="1969"/>
      <c r="DA13" s="349" t="s">
        <v>753</v>
      </c>
      <c r="DB13" s="355">
        <v>0.32863000000000003</v>
      </c>
      <c r="DC13" s="332">
        <v>0.32566000000000001</v>
      </c>
      <c r="DD13" s="332">
        <v>1.0000000000000001E-5</v>
      </c>
      <c r="DE13" s="332">
        <v>2.96E-3</v>
      </c>
      <c r="DF13" s="332">
        <v>0.44751999999999997</v>
      </c>
      <c r="DG13" s="332">
        <v>0.44642999999999999</v>
      </c>
      <c r="DH13" s="332">
        <v>5.0000000000000001E-4</v>
      </c>
      <c r="DI13" s="332">
        <v>5.9000000000000003E-4</v>
      </c>
      <c r="DK13" s="1967"/>
      <c r="DL13" s="1388" t="s">
        <v>881</v>
      </c>
      <c r="DM13" s="1389">
        <f t="shared" si="8"/>
        <v>3500</v>
      </c>
      <c r="DO13" s="1968"/>
      <c r="DP13" s="123" t="s">
        <v>881</v>
      </c>
      <c r="DQ13" s="123" t="s">
        <v>202</v>
      </c>
      <c r="DR13" s="388">
        <v>3500</v>
      </c>
      <c r="DV13" s="161" t="s">
        <v>1125</v>
      </c>
      <c r="DW13" s="1414">
        <f t="shared" si="9"/>
        <v>1.8617726000000001</v>
      </c>
      <c r="DY13" s="1971"/>
      <c r="DZ13" s="402" t="s">
        <v>1124</v>
      </c>
      <c r="EA13" s="402" t="s">
        <v>316</v>
      </c>
      <c r="EB13" s="403">
        <v>131.77260000000001</v>
      </c>
      <c r="EC13" s="405" t="s">
        <v>1736</v>
      </c>
      <c r="ED13" s="403">
        <v>3.2067999999999999</v>
      </c>
      <c r="EE13" s="403">
        <v>3.2067999999999999</v>
      </c>
      <c r="EG13" s="158" t="s">
        <v>719</v>
      </c>
      <c r="EH13" s="163" t="s">
        <v>713</v>
      </c>
      <c r="EI13" s="163" t="s">
        <v>197</v>
      </c>
      <c r="EJ13" s="163" t="str">
        <f t="shared" si="10"/>
        <v>Truck, rigid axel &gt;3.5 - 7.5 tonnes|Petrol|km</v>
      </c>
      <c r="EK13" s="378" t="s">
        <v>1749</v>
      </c>
      <c r="EL13" s="378" t="s">
        <v>1749</v>
      </c>
      <c r="EM13" s="378" t="s">
        <v>1749</v>
      </c>
      <c r="EN13" s="378" t="s">
        <v>1749</v>
      </c>
      <c r="EP13" s="1994"/>
      <c r="EQ13" s="1968"/>
      <c r="ER13" s="123" t="s">
        <v>753</v>
      </c>
      <c r="ES13" s="295">
        <v>0.30415999999999999</v>
      </c>
      <c r="ET13" s="295">
        <v>0.30121999999999999</v>
      </c>
      <c r="EU13" s="295">
        <v>1.0000000000000001E-5</v>
      </c>
      <c r="EV13" s="295">
        <v>2.9399999999999999E-3</v>
      </c>
      <c r="EW13" s="295">
        <v>0.33461000000000002</v>
      </c>
      <c r="EX13" s="295">
        <v>0.33331</v>
      </c>
      <c r="EY13" s="295">
        <v>3.8000000000000002E-4</v>
      </c>
      <c r="EZ13" s="295">
        <v>9.2000000000000003E-4</v>
      </c>
      <c r="FJ13" s="543" t="s">
        <v>1043</v>
      </c>
      <c r="FK13" s="606" t="s">
        <v>202</v>
      </c>
      <c r="FL13" s="739">
        <f t="shared" si="14"/>
        <v>1.01633</v>
      </c>
      <c r="FM13" s="606">
        <v>1.01633</v>
      </c>
      <c r="FN13" s="606"/>
    </row>
    <row r="14" spans="1:171" ht="29" x14ac:dyDescent="0.35">
      <c r="A14" s="1979"/>
      <c r="B14" s="158" t="s">
        <v>570</v>
      </c>
      <c r="C14" s="161" t="s">
        <v>581</v>
      </c>
      <c r="D14" s="159" t="str">
        <f t="shared" si="0"/>
        <v>Biogas|Cubic metres (m3)</v>
      </c>
      <c r="E14" s="1275">
        <f>E13*'Fuel properties'!G42</f>
        <v>1.3698224999999999E-3</v>
      </c>
      <c r="F14" s="1275">
        <f>F13*'Fuel properties'!G42</f>
        <v>0</v>
      </c>
      <c r="G14" s="1275">
        <f>G13*'Fuel properties'!G42</f>
        <v>0</v>
      </c>
      <c r="H14" s="1275">
        <f>H13*'Fuel properties'!G42</f>
        <v>0</v>
      </c>
      <c r="J14" s="1373"/>
      <c r="K14" s="1372"/>
      <c r="L14" s="123" t="s">
        <v>1737</v>
      </c>
      <c r="M14" s="126">
        <v>0.18387000000000001</v>
      </c>
      <c r="N14" s="126">
        <v>0.18351999999999999</v>
      </c>
      <c r="O14" s="126">
        <v>2.5000000000000001E-4</v>
      </c>
      <c r="P14" s="126">
        <v>1E-4</v>
      </c>
      <c r="R14" s="150"/>
      <c r="S14" s="151"/>
      <c r="T14" s="123" t="s">
        <v>1722</v>
      </c>
      <c r="U14" s="126">
        <v>0.10574</v>
      </c>
      <c r="Y14" s="244" t="s">
        <v>818</v>
      </c>
      <c r="Z14" s="244">
        <v>0.25</v>
      </c>
      <c r="AA14" s="244" t="str">
        <f t="shared" si="4"/>
        <v>Halothane/Fluothane|0.25</v>
      </c>
      <c r="AB14" s="244">
        <v>0.47</v>
      </c>
      <c r="AK14" s="235"/>
      <c r="AL14" s="159" t="s">
        <v>1750</v>
      </c>
      <c r="AM14" s="168"/>
      <c r="AN14" s="313"/>
      <c r="AP14" s="159" t="s">
        <v>758</v>
      </c>
      <c r="AQ14" s="158" t="s">
        <v>197</v>
      </c>
      <c r="AR14" s="164" t="str">
        <f t="shared" si="5"/>
        <v>International flights-Economy class|km</v>
      </c>
      <c r="AS14" s="299" t="s">
        <v>1724</v>
      </c>
      <c r="AT14" s="299" t="s">
        <v>1724</v>
      </c>
      <c r="AU14" s="299" t="s">
        <v>1724</v>
      </c>
      <c r="AV14" s="299" t="s">
        <v>1724</v>
      </c>
      <c r="AX14" s="1992"/>
      <c r="AY14" s="1994"/>
      <c r="AZ14" s="288" t="s">
        <v>1751</v>
      </c>
      <c r="BA14" s="290" t="s">
        <v>751</v>
      </c>
      <c r="BB14" s="291">
        <v>0.23385</v>
      </c>
      <c r="BC14" s="291">
        <v>0.23268</v>
      </c>
      <c r="BD14" s="291">
        <v>1.0000000000000001E-5</v>
      </c>
      <c r="BE14" s="291">
        <v>1.16E-3</v>
      </c>
      <c r="BW14" s="158" t="s">
        <v>719</v>
      </c>
      <c r="BX14" s="158" t="s">
        <v>715</v>
      </c>
      <c r="BY14" s="158" t="str">
        <f t="shared" si="6"/>
        <v>Truck, rigid axel &gt;3.5 - 7.5 tonnes|Diesel</v>
      </c>
      <c r="BZ14" s="377">
        <f>CT20</f>
        <v>0.48250999999999999</v>
      </c>
      <c r="CA14" s="377">
        <f t="shared" ref="CA14:CC14" si="25">CU20</f>
        <v>0.47664000000000001</v>
      </c>
      <c r="CB14" s="377">
        <f t="shared" si="25"/>
        <v>1E-4</v>
      </c>
      <c r="CC14" s="377">
        <f t="shared" si="25"/>
        <v>5.77E-3</v>
      </c>
      <c r="CE14" s="1963"/>
      <c r="CF14" s="1963" t="s">
        <v>1752</v>
      </c>
      <c r="CG14" s="123" t="s">
        <v>197</v>
      </c>
      <c r="CH14" s="295">
        <v>0.24709999999999999</v>
      </c>
      <c r="CI14" s="295">
        <v>0.24526999999999999</v>
      </c>
      <c r="CJ14" s="361">
        <v>0</v>
      </c>
      <c r="CK14" s="295">
        <v>1.83E-3</v>
      </c>
      <c r="CL14" s="336">
        <v>0.21962000000000001</v>
      </c>
      <c r="CM14" s="336">
        <v>0.21881</v>
      </c>
      <c r="CN14" s="336">
        <v>2.4000000000000001E-4</v>
      </c>
      <c r="CO14" s="336">
        <v>5.6999999999999998E-4</v>
      </c>
      <c r="CP14" s="338">
        <v>0.24709</v>
      </c>
      <c r="CQ14" s="338">
        <v>0.24523</v>
      </c>
      <c r="CR14" s="338">
        <v>1.1900000000000001E-3</v>
      </c>
      <c r="CS14" s="341">
        <v>6.7000000000000002E-4</v>
      </c>
      <c r="CT14" s="351">
        <v>0.27174999999999999</v>
      </c>
      <c r="CU14" s="351">
        <v>0.27104</v>
      </c>
      <c r="CV14" s="351">
        <v>4.0000000000000003E-5</v>
      </c>
      <c r="CW14" s="351">
        <v>6.7000000000000002E-4</v>
      </c>
      <c r="CX14" s="346"/>
      <c r="CY14" s="1969"/>
      <c r="CZ14" s="1969" t="s">
        <v>1753</v>
      </c>
      <c r="DA14" s="349" t="s">
        <v>197</v>
      </c>
      <c r="DB14" s="355">
        <v>0.16844000000000001</v>
      </c>
      <c r="DC14" s="332">
        <v>0.1666</v>
      </c>
      <c r="DD14" s="332">
        <v>3.49E-6</v>
      </c>
      <c r="DE14" s="332">
        <v>1.8400000000000001E-3</v>
      </c>
      <c r="DF14" s="332">
        <v>0.17430000000000001</v>
      </c>
      <c r="DG14" s="332">
        <v>0.17363000000000001</v>
      </c>
      <c r="DH14" s="332">
        <v>3.1E-4</v>
      </c>
      <c r="DI14" s="332">
        <v>3.6000000000000002E-4</v>
      </c>
      <c r="DK14" s="1967"/>
      <c r="DL14" s="1388" t="s">
        <v>883</v>
      </c>
      <c r="DM14" s="1389">
        <f t="shared" si="8"/>
        <v>1100</v>
      </c>
      <c r="DO14" s="1968"/>
      <c r="DP14" s="123" t="s">
        <v>883</v>
      </c>
      <c r="DQ14" s="123" t="s">
        <v>202</v>
      </c>
      <c r="DR14" s="388">
        <v>1100</v>
      </c>
      <c r="DV14" s="161" t="s">
        <v>1126</v>
      </c>
      <c r="DW14" s="1414">
        <f t="shared" si="9"/>
        <v>3.8942234</v>
      </c>
      <c r="DY14" s="1971"/>
      <c r="DZ14" s="402" t="s">
        <v>1125</v>
      </c>
      <c r="EA14" s="402" t="s">
        <v>316</v>
      </c>
      <c r="EB14" s="403">
        <v>1861.7726</v>
      </c>
      <c r="EC14" s="405" t="s">
        <v>1736</v>
      </c>
      <c r="ED14" s="405" t="s">
        <v>1736</v>
      </c>
      <c r="EE14" s="403">
        <v>1852.1024</v>
      </c>
      <c r="EG14" s="158" t="s">
        <v>719</v>
      </c>
      <c r="EH14" s="158" t="s">
        <v>715</v>
      </c>
      <c r="EI14" s="163" t="s">
        <v>197</v>
      </c>
      <c r="EJ14" s="163" t="str">
        <f t="shared" si="10"/>
        <v>Truck, rigid axel &gt;3.5 - 7.5 tonnes|Diesel|km</v>
      </c>
      <c r="EK14" s="377">
        <f>FE25</f>
        <v>0.57440999999999998</v>
      </c>
      <c r="EL14" s="377">
        <f t="shared" ref="EL14:EN14" si="26">FF25</f>
        <v>0.56854000000000005</v>
      </c>
      <c r="EM14" s="377">
        <f t="shared" si="26"/>
        <v>1E-4</v>
      </c>
      <c r="EN14" s="377">
        <f t="shared" si="26"/>
        <v>5.77E-3</v>
      </c>
      <c r="EP14" s="1994"/>
      <c r="EQ14" s="1968" t="s">
        <v>1745</v>
      </c>
      <c r="ER14" s="123" t="s">
        <v>1093</v>
      </c>
      <c r="ES14" s="295">
        <v>0.60297999999999996</v>
      </c>
      <c r="ET14" s="295">
        <v>0.59892000000000001</v>
      </c>
      <c r="EU14" s="295">
        <v>1.0000000000000001E-5</v>
      </c>
      <c r="EV14" s="295">
        <v>4.0499999999999998E-3</v>
      </c>
      <c r="EW14" s="295">
        <v>0.79525999999999997</v>
      </c>
      <c r="EX14" s="295">
        <v>0.79332000000000003</v>
      </c>
      <c r="EY14" s="295">
        <v>5.6999999999999998E-4</v>
      </c>
      <c r="EZ14" s="295">
        <v>1.3600000000000001E-3</v>
      </c>
      <c r="FJ14" s="543" t="s">
        <v>208</v>
      </c>
      <c r="FK14" s="606" t="s">
        <v>202</v>
      </c>
      <c r="FL14" s="739">
        <f t="shared" si="14"/>
        <v>0</v>
      </c>
      <c r="FM14" s="606">
        <v>0</v>
      </c>
      <c r="FN14" s="606"/>
    </row>
    <row r="15" spans="1:171" ht="16.5" x14ac:dyDescent="0.45">
      <c r="A15" s="1979"/>
      <c r="B15" s="158" t="s">
        <v>576</v>
      </c>
      <c r="C15" s="159" t="s">
        <v>563</v>
      </c>
      <c r="D15" s="159" t="str">
        <f t="shared" si="0"/>
        <v>Biomethane|Kilowatt hours (KWh)</v>
      </c>
      <c r="E15" s="1276">
        <f>U35</f>
        <v>2.1000000000000001E-4</v>
      </c>
      <c r="F15" s="1276">
        <f t="shared" ref="F15:H15" si="27">V35</f>
        <v>0</v>
      </c>
      <c r="G15" s="1276">
        <f t="shared" si="27"/>
        <v>0</v>
      </c>
      <c r="H15" s="1276">
        <f t="shared" si="27"/>
        <v>0</v>
      </c>
      <c r="J15" s="1373"/>
      <c r="K15" s="1370" t="s">
        <v>1754</v>
      </c>
      <c r="L15" s="123" t="s">
        <v>316</v>
      </c>
      <c r="M15" s="125">
        <v>2542.41</v>
      </c>
      <c r="N15" s="125">
        <v>2537.6799999999998</v>
      </c>
      <c r="O15" s="125">
        <v>3.4</v>
      </c>
      <c r="P15" s="125">
        <v>1.33</v>
      </c>
      <c r="R15" s="150"/>
      <c r="S15" s="151"/>
      <c r="T15" s="123" t="s">
        <v>202</v>
      </c>
      <c r="U15" s="126">
        <v>5.1799999999999997E-3</v>
      </c>
      <c r="Y15" s="244" t="s">
        <v>818</v>
      </c>
      <c r="Z15" s="244">
        <v>0.24</v>
      </c>
      <c r="AA15" s="244" t="str">
        <f t="shared" si="4"/>
        <v>Halothane/Fluothane|0.24</v>
      </c>
      <c r="AB15" s="244" t="s">
        <v>1755</v>
      </c>
      <c r="AK15" s="235"/>
      <c r="AL15" s="161" t="s">
        <v>1756</v>
      </c>
      <c r="AM15" s="168"/>
      <c r="AN15" s="313"/>
      <c r="AP15" s="159" t="s">
        <v>758</v>
      </c>
      <c r="AQ15" s="158" t="s">
        <v>753</v>
      </c>
      <c r="AR15" s="164" t="str">
        <f t="shared" si="5"/>
        <v>International flights-Economy class|miles</v>
      </c>
      <c r="AS15" s="299" t="s">
        <v>1724</v>
      </c>
      <c r="AT15" s="299" t="s">
        <v>1724</v>
      </c>
      <c r="AU15" s="299" t="s">
        <v>1724</v>
      </c>
      <c r="AV15" s="299" t="s">
        <v>1724</v>
      </c>
      <c r="AX15" s="1992"/>
      <c r="AY15" s="1994"/>
      <c r="AZ15" s="288" t="s">
        <v>1741</v>
      </c>
      <c r="BA15" s="290" t="s">
        <v>751</v>
      </c>
      <c r="BB15" s="291">
        <v>0.42385</v>
      </c>
      <c r="BC15" s="291">
        <v>0.42172999999999999</v>
      </c>
      <c r="BD15" s="291">
        <v>2.0000000000000002E-5</v>
      </c>
      <c r="BE15" s="291">
        <v>2.0999999999999999E-3</v>
      </c>
      <c r="BO15" s="122" t="s">
        <v>1688</v>
      </c>
      <c r="BP15" s="122" t="s">
        <v>1702</v>
      </c>
      <c r="BQ15" s="122" t="s">
        <v>1689</v>
      </c>
      <c r="BR15" s="123" t="s">
        <v>1690</v>
      </c>
      <c r="BS15" s="123" t="s">
        <v>1691</v>
      </c>
      <c r="BT15" s="123" t="s">
        <v>1692</v>
      </c>
      <c r="BU15" s="123" t="s">
        <v>1693</v>
      </c>
      <c r="BW15" s="158" t="s">
        <v>720</v>
      </c>
      <c r="BX15" s="158" t="s">
        <v>713</v>
      </c>
      <c r="BY15" s="158" t="str">
        <f t="shared" si="6"/>
        <v>Truck, rigid axel &gt;7.5 tonnes-17 tonnes|Petrol</v>
      </c>
      <c r="BZ15" s="377" t="s">
        <v>1748</v>
      </c>
      <c r="CA15" s="377" t="s">
        <v>1748</v>
      </c>
      <c r="CB15" s="377" t="s">
        <v>1748</v>
      </c>
      <c r="CC15" s="377" t="s">
        <v>1748</v>
      </c>
      <c r="CE15" s="1963"/>
      <c r="CF15" s="1963"/>
      <c r="CG15" s="123" t="s">
        <v>753</v>
      </c>
      <c r="CH15" s="295">
        <v>0.39767000000000002</v>
      </c>
      <c r="CI15" s="295">
        <v>0.39472000000000002</v>
      </c>
      <c r="CJ15" s="361">
        <v>1.0000000000000001E-5</v>
      </c>
      <c r="CK15" s="295">
        <v>2.9399999999999999E-3</v>
      </c>
      <c r="CL15" s="336">
        <v>0.35344999999999999</v>
      </c>
      <c r="CM15" s="336">
        <v>0.35215000000000002</v>
      </c>
      <c r="CN15" s="336">
        <v>3.8000000000000002E-4</v>
      </c>
      <c r="CO15" s="336">
        <v>9.2000000000000003E-4</v>
      </c>
      <c r="CP15" s="338">
        <v>0.39765</v>
      </c>
      <c r="CQ15" s="338">
        <v>0.39466000000000001</v>
      </c>
      <c r="CR15" s="338">
        <v>1.92E-3</v>
      </c>
      <c r="CS15" s="341">
        <v>1.07E-3</v>
      </c>
      <c r="CT15" s="351">
        <v>0.43734000000000001</v>
      </c>
      <c r="CU15" s="351">
        <v>0.43619999999999998</v>
      </c>
      <c r="CV15" s="351">
        <v>6.0000000000000002E-5</v>
      </c>
      <c r="CW15" s="351">
        <v>1.07E-3</v>
      </c>
      <c r="CX15" s="346"/>
      <c r="CY15" s="1969"/>
      <c r="CZ15" s="1969"/>
      <c r="DA15" s="349" t="s">
        <v>753</v>
      </c>
      <c r="DB15" s="355">
        <v>0.27108000000000004</v>
      </c>
      <c r="DC15" s="332">
        <v>0.26811000000000001</v>
      </c>
      <c r="DD15" s="332">
        <v>1.0000000000000001E-5</v>
      </c>
      <c r="DE15" s="332">
        <v>2.96E-3</v>
      </c>
      <c r="DF15" s="332">
        <v>0.28051999999999999</v>
      </c>
      <c r="DG15" s="332">
        <v>0.27943000000000001</v>
      </c>
      <c r="DH15" s="332">
        <v>5.0000000000000001E-4</v>
      </c>
      <c r="DI15" s="332">
        <v>5.9000000000000003E-4</v>
      </c>
      <c r="DK15" s="1967"/>
      <c r="DL15" s="1388" t="s">
        <v>885</v>
      </c>
      <c r="DM15" s="1389">
        <f t="shared" si="8"/>
        <v>1430</v>
      </c>
      <c r="DO15" s="1968"/>
      <c r="DP15" s="123" t="s">
        <v>885</v>
      </c>
      <c r="DQ15" s="123" t="s">
        <v>202</v>
      </c>
      <c r="DR15" s="388">
        <v>1430</v>
      </c>
      <c r="DV15" s="161" t="s">
        <v>1127</v>
      </c>
      <c r="DW15" s="1414">
        <v>0</v>
      </c>
      <c r="DY15" s="1971"/>
      <c r="DZ15" s="402" t="s">
        <v>1126</v>
      </c>
      <c r="EA15" s="402" t="s">
        <v>316</v>
      </c>
      <c r="EB15" s="403">
        <v>3894.2233999999999</v>
      </c>
      <c r="EC15" s="405" t="s">
        <v>1736</v>
      </c>
      <c r="ED15" s="405" t="s">
        <v>1736</v>
      </c>
      <c r="EE15" s="403">
        <v>1634.5553</v>
      </c>
      <c r="EG15" s="158" t="s">
        <v>720</v>
      </c>
      <c r="EH15" s="163" t="s">
        <v>713</v>
      </c>
      <c r="EI15" s="163" t="s">
        <v>197</v>
      </c>
      <c r="EJ15" s="163" t="str">
        <f t="shared" si="10"/>
        <v>Truck, rigid axel &gt;7.5 tonnes-17 tonnes|Petrol|km</v>
      </c>
      <c r="EK15" s="378" t="s">
        <v>1749</v>
      </c>
      <c r="EL15" s="378" t="s">
        <v>1749</v>
      </c>
      <c r="EM15" s="378" t="s">
        <v>1749</v>
      </c>
      <c r="EN15" s="378" t="s">
        <v>1749</v>
      </c>
      <c r="EP15" s="1994"/>
      <c r="EQ15" s="1968"/>
      <c r="ER15" s="123" t="s">
        <v>197</v>
      </c>
      <c r="ES15" s="295">
        <v>0.27171000000000001</v>
      </c>
      <c r="ET15" s="295">
        <v>0.26988000000000001</v>
      </c>
      <c r="EU15" s="295">
        <v>0</v>
      </c>
      <c r="EV15" s="295">
        <v>1.83E-3</v>
      </c>
      <c r="EW15" s="295">
        <v>0.33276</v>
      </c>
      <c r="EX15" s="295">
        <v>0.33195000000000002</v>
      </c>
      <c r="EY15" s="295">
        <v>2.4000000000000001E-4</v>
      </c>
      <c r="EZ15" s="295">
        <v>5.6999999999999998E-4</v>
      </c>
      <c r="FJ15" s="543" t="s">
        <v>1046</v>
      </c>
      <c r="FK15" s="606" t="s">
        <v>202</v>
      </c>
      <c r="FL15" s="739">
        <f t="shared" si="14"/>
        <v>0</v>
      </c>
      <c r="FM15" s="606">
        <v>0</v>
      </c>
      <c r="FN15" s="606"/>
    </row>
    <row r="16" spans="1:171" x14ac:dyDescent="0.35">
      <c r="A16" s="1979"/>
      <c r="B16" s="158" t="s">
        <v>576</v>
      </c>
      <c r="C16" s="159" t="s">
        <v>575</v>
      </c>
      <c r="D16" s="159" t="str">
        <f t="shared" si="0"/>
        <v>Biomethane|Litres (l)</v>
      </c>
      <c r="E16" s="1277">
        <f>(E17*1000)/'Fuel properties'!H43</f>
        <v>8.6355537104460801E-7</v>
      </c>
      <c r="F16" s="1277">
        <f>(F17*1000)/'Fuel properties'!H43</f>
        <v>0</v>
      </c>
      <c r="G16" s="1277">
        <f>(G17*1000)/'Fuel properties'!H43</f>
        <v>0</v>
      </c>
      <c r="H16" s="1277">
        <f>(H17*1000)/'Fuel properties'!H43</f>
        <v>0</v>
      </c>
      <c r="J16" s="1373"/>
      <c r="K16" s="1371"/>
      <c r="L16" s="123" t="s">
        <v>199</v>
      </c>
      <c r="M16" s="126">
        <v>1.1504099999999999</v>
      </c>
      <c r="N16" s="126">
        <v>1.1482699999999999</v>
      </c>
      <c r="O16" s="126">
        <v>1.5399999999999999E-3</v>
      </c>
      <c r="P16" s="126">
        <v>5.9999999999999995E-4</v>
      </c>
      <c r="R16" s="150"/>
      <c r="S16" s="152" t="s">
        <v>1757</v>
      </c>
      <c r="T16" s="123" t="s">
        <v>199</v>
      </c>
      <c r="U16" s="126">
        <v>0.1658</v>
      </c>
      <c r="Y16" s="244" t="s">
        <v>818</v>
      </c>
      <c r="Z16" s="244">
        <v>0.2</v>
      </c>
      <c r="AA16" s="244" t="str">
        <f t="shared" si="4"/>
        <v>Halothane/Fluothane|0.2</v>
      </c>
      <c r="AB16" s="244">
        <v>0.37</v>
      </c>
      <c r="AK16" s="235" t="s">
        <v>1758</v>
      </c>
      <c r="AL16" s="159" t="s">
        <v>1007</v>
      </c>
      <c r="AM16" s="168"/>
      <c r="AN16" s="313"/>
      <c r="AP16" s="159" t="s">
        <v>759</v>
      </c>
      <c r="AQ16" s="158" t="s">
        <v>751</v>
      </c>
      <c r="AR16" s="164" t="str">
        <f t="shared" si="5"/>
        <v>International flights-Business class|passenger.km</v>
      </c>
      <c r="AS16" s="299">
        <f>BB20</f>
        <v>0.40379000000000004</v>
      </c>
      <c r="AT16" s="299">
        <f t="shared" ref="AT16:AV16" si="28">BC20</f>
        <v>0.40177000000000002</v>
      </c>
      <c r="AU16" s="299">
        <f t="shared" si="28"/>
        <v>2.0000000000000002E-5</v>
      </c>
      <c r="AV16" s="299">
        <f t="shared" si="28"/>
        <v>2E-3</v>
      </c>
      <c r="AX16" s="1992"/>
      <c r="AY16" s="1994"/>
      <c r="AZ16" s="288" t="s">
        <v>1759</v>
      </c>
      <c r="BA16" s="290" t="s">
        <v>751</v>
      </c>
      <c r="BB16" s="291">
        <v>0.58462000000000003</v>
      </c>
      <c r="BC16" s="291">
        <v>0.58169999999999999</v>
      </c>
      <c r="BD16" s="291">
        <v>2.0000000000000002E-5</v>
      </c>
      <c r="BE16" s="291">
        <v>2.8999999999999998E-3</v>
      </c>
      <c r="BO16" s="1976" t="s">
        <v>679</v>
      </c>
      <c r="BP16" s="1963" t="s">
        <v>1760</v>
      </c>
      <c r="BQ16" s="123" t="s">
        <v>197</v>
      </c>
      <c r="BR16" s="297">
        <v>8.2769999999999996E-2</v>
      </c>
      <c r="BS16" s="297">
        <v>8.0860000000000001E-2</v>
      </c>
      <c r="BT16" s="297">
        <v>1.6100000000000001E-3</v>
      </c>
      <c r="BU16" s="297">
        <v>2.9999999999999997E-4</v>
      </c>
      <c r="BW16" s="158" t="s">
        <v>720</v>
      </c>
      <c r="BX16" s="158" t="s">
        <v>715</v>
      </c>
      <c r="BY16" s="158" t="str">
        <f t="shared" si="6"/>
        <v>Truck, rigid axel &gt;7.5 tonnes-17 tonnes|Diesel</v>
      </c>
      <c r="BZ16" s="377">
        <f>CT22</f>
        <v>0.58928000000000003</v>
      </c>
      <c r="CA16" s="377">
        <f t="shared" ref="CA16:CC16" si="29">CU22</f>
        <v>0.58211999999999997</v>
      </c>
      <c r="CB16" s="377">
        <f t="shared" si="29"/>
        <v>1.2E-4</v>
      </c>
      <c r="CC16" s="377">
        <f t="shared" si="29"/>
        <v>7.0400000000000003E-3</v>
      </c>
      <c r="CE16" s="345"/>
      <c r="CF16" s="345"/>
      <c r="CG16" s="345"/>
      <c r="CH16" s="345"/>
      <c r="CI16" s="345"/>
      <c r="CJ16" s="345"/>
      <c r="CK16" s="345"/>
      <c r="CL16" s="345"/>
      <c r="CM16" s="345"/>
      <c r="CN16" s="345"/>
      <c r="CO16" s="345"/>
      <c r="CP16" s="345"/>
      <c r="CQ16" s="345"/>
      <c r="CR16" s="345"/>
      <c r="CS16" s="345"/>
      <c r="CT16" s="345"/>
      <c r="CU16" s="345"/>
      <c r="CV16" s="345"/>
      <c r="CW16" s="345"/>
      <c r="CX16" s="345"/>
      <c r="CY16" s="345"/>
      <c r="CZ16" s="345"/>
      <c r="DA16" s="345"/>
      <c r="DB16" s="345"/>
      <c r="DC16" s="345"/>
      <c r="DD16" s="345"/>
      <c r="DE16" s="345"/>
      <c r="DF16" s="345"/>
      <c r="DG16" s="345"/>
      <c r="DH16" s="345"/>
      <c r="DI16" s="345"/>
      <c r="DK16" s="1967"/>
      <c r="DL16" s="1388" t="s">
        <v>887</v>
      </c>
      <c r="DM16" s="1389">
        <f t="shared" si="8"/>
        <v>353</v>
      </c>
      <c r="DO16" s="1968"/>
      <c r="DP16" s="123" t="s">
        <v>887</v>
      </c>
      <c r="DQ16" s="123" t="s">
        <v>202</v>
      </c>
      <c r="DR16" s="388">
        <v>353</v>
      </c>
      <c r="DV16" s="161" t="s">
        <v>1128</v>
      </c>
      <c r="DW16" s="1414">
        <f>EB17/1000</f>
        <v>1.401</v>
      </c>
      <c r="DY16" s="1971"/>
      <c r="DZ16" s="402" t="s">
        <v>1127</v>
      </c>
      <c r="EA16" s="402" t="s">
        <v>316</v>
      </c>
      <c r="EB16" s="405" t="s">
        <v>1736</v>
      </c>
      <c r="EC16" s="405" t="s">
        <v>1736</v>
      </c>
      <c r="ED16" s="405" t="s">
        <v>1736</v>
      </c>
      <c r="EE16" s="403">
        <v>0.99680000000000002</v>
      </c>
      <c r="EG16" s="158" t="s">
        <v>720</v>
      </c>
      <c r="EH16" s="158" t="s">
        <v>715</v>
      </c>
      <c r="EI16" s="163" t="s">
        <v>197</v>
      </c>
      <c r="EJ16" s="163" t="str">
        <f t="shared" si="10"/>
        <v>Truck, rigid axel &gt;7.5 tonnes-17 tonnes|Diesel|km</v>
      </c>
      <c r="EK16" s="377">
        <f>FE28</f>
        <v>0.70150999999999997</v>
      </c>
      <c r="EL16" s="377">
        <f t="shared" ref="EL16:EN16" si="30">FF28</f>
        <v>0.69435000000000002</v>
      </c>
      <c r="EM16" s="377">
        <f t="shared" si="30"/>
        <v>1.2E-4</v>
      </c>
      <c r="EN16" s="377">
        <f t="shared" si="30"/>
        <v>7.0400000000000003E-3</v>
      </c>
      <c r="EP16" s="1994"/>
      <c r="EQ16" s="1968"/>
      <c r="ER16" s="123" t="s">
        <v>753</v>
      </c>
      <c r="ES16" s="295">
        <v>0.43726999999999999</v>
      </c>
      <c r="ET16" s="295">
        <v>0.43431999999999998</v>
      </c>
      <c r="EU16" s="295">
        <v>1.0000000000000001E-5</v>
      </c>
      <c r="EV16" s="295">
        <v>2.9399999999999999E-3</v>
      </c>
      <c r="EW16" s="295">
        <v>0.53552</v>
      </c>
      <c r="EX16" s="295">
        <v>0.53422000000000003</v>
      </c>
      <c r="EY16" s="295">
        <v>3.8000000000000002E-4</v>
      </c>
      <c r="EZ16" s="295">
        <v>9.2000000000000003E-4</v>
      </c>
    </row>
    <row r="17" spans="1:164" x14ac:dyDescent="0.35">
      <c r="A17" s="1979"/>
      <c r="B17" s="158" t="s">
        <v>576</v>
      </c>
      <c r="C17" s="159" t="s">
        <v>569</v>
      </c>
      <c r="D17" s="159" t="str">
        <f t="shared" si="0"/>
        <v>Biomethane|Kilograms (kg)</v>
      </c>
      <c r="E17" s="1275">
        <f>U34/1000</f>
        <v>1.19115E-3</v>
      </c>
      <c r="F17" s="1275">
        <f t="shared" ref="F17:H17" si="31">V34/1000</f>
        <v>0</v>
      </c>
      <c r="G17" s="1275">
        <f t="shared" si="31"/>
        <v>0</v>
      </c>
      <c r="H17" s="1275">
        <f t="shared" si="31"/>
        <v>0</v>
      </c>
      <c r="J17" s="1373"/>
      <c r="K17" s="1371"/>
      <c r="L17" s="123" t="s">
        <v>1733</v>
      </c>
      <c r="M17" s="126">
        <v>0.20449000000000001</v>
      </c>
      <c r="N17" s="127">
        <v>0.20411000000000001</v>
      </c>
      <c r="O17" s="126">
        <v>2.7E-4</v>
      </c>
      <c r="P17" s="126">
        <v>1.1E-4</v>
      </c>
      <c r="R17" s="150"/>
      <c r="S17" s="152"/>
      <c r="T17" s="123" t="s">
        <v>1722</v>
      </c>
      <c r="U17" s="126">
        <v>5.0079700000000003</v>
      </c>
      <c r="Y17" s="244" t="s">
        <v>818</v>
      </c>
      <c r="Z17" s="244">
        <v>0.125</v>
      </c>
      <c r="AA17" s="244" t="str">
        <f t="shared" si="4"/>
        <v>Halothane/Fluothane|0.125</v>
      </c>
      <c r="AB17" s="244" t="s">
        <v>1761</v>
      </c>
      <c r="AK17" s="235"/>
      <c r="AL17" s="159" t="s">
        <v>1750</v>
      </c>
      <c r="AM17" s="168"/>
      <c r="AN17" s="313"/>
      <c r="AP17" s="159" t="s">
        <v>759</v>
      </c>
      <c r="AQ17" s="158" t="s">
        <v>197</v>
      </c>
      <c r="AR17" s="164" t="str">
        <f t="shared" si="5"/>
        <v>International flights-Business class|km</v>
      </c>
      <c r="AS17" s="299" t="s">
        <v>1724</v>
      </c>
      <c r="AT17" s="299" t="s">
        <v>1724</v>
      </c>
      <c r="AU17" s="299" t="s">
        <v>1724</v>
      </c>
      <c r="AV17" s="299" t="s">
        <v>1724</v>
      </c>
      <c r="AX17" s="1992"/>
      <c r="AY17" s="1994" t="s">
        <v>1762</v>
      </c>
      <c r="AZ17" s="288" t="s">
        <v>1727</v>
      </c>
      <c r="BA17" s="290" t="s">
        <v>751</v>
      </c>
      <c r="BB17" s="291">
        <v>0.18181000000000003</v>
      </c>
      <c r="BC17" s="291">
        <v>0.18090000000000001</v>
      </c>
      <c r="BD17" s="291">
        <v>1.0000000000000001E-5</v>
      </c>
      <c r="BE17" s="291">
        <v>8.9999999999999998E-4</v>
      </c>
      <c r="BO17" s="1977"/>
      <c r="BP17" s="1963"/>
      <c r="BQ17" s="123" t="s">
        <v>753</v>
      </c>
      <c r="BR17" s="297">
        <v>0.13321</v>
      </c>
      <c r="BS17" s="297">
        <v>0.13013</v>
      </c>
      <c r="BT17" s="297">
        <v>2.5999999999999999E-3</v>
      </c>
      <c r="BU17" s="297">
        <v>4.8000000000000001E-4</v>
      </c>
      <c r="BW17" s="158" t="s">
        <v>721</v>
      </c>
      <c r="BX17" s="158" t="s">
        <v>713</v>
      </c>
      <c r="BY17" s="158" t="str">
        <f t="shared" si="6"/>
        <v>Truck, rigid axel &gt;17 tonnes|Petrol</v>
      </c>
      <c r="BZ17" s="377" t="s">
        <v>1748</v>
      </c>
      <c r="CA17" s="377" t="s">
        <v>1748</v>
      </c>
      <c r="CB17" s="377" t="s">
        <v>1748</v>
      </c>
      <c r="CC17" s="377" t="s">
        <v>1748</v>
      </c>
      <c r="CE17" s="345"/>
      <c r="CF17" s="345"/>
      <c r="CG17" s="345"/>
      <c r="CH17" s="347"/>
      <c r="CI17" s="347"/>
      <c r="CJ17" s="347"/>
      <c r="CK17" s="347"/>
      <c r="CL17" s="347"/>
      <c r="CM17" s="347"/>
      <c r="CN17" s="347"/>
      <c r="CO17" s="347"/>
      <c r="CP17" s="347"/>
      <c r="CQ17" s="347"/>
      <c r="CR17" s="347"/>
      <c r="CS17" s="347"/>
      <c r="CT17" s="347"/>
      <c r="CU17" s="347"/>
      <c r="CV17" s="347"/>
      <c r="CW17" s="347"/>
      <c r="CX17" s="347"/>
      <c r="CY17" s="345"/>
      <c r="CZ17" s="345"/>
      <c r="DA17" s="345"/>
      <c r="DB17" s="345"/>
      <c r="DC17" s="345"/>
      <c r="DD17" s="345"/>
      <c r="DE17" s="345"/>
      <c r="DF17" s="345"/>
      <c r="DG17" s="345"/>
      <c r="DH17" s="345"/>
      <c r="DI17" s="345"/>
      <c r="DK17" s="1967"/>
      <c r="DL17" s="1388" t="s">
        <v>889</v>
      </c>
      <c r="DM17" s="1389">
        <f t="shared" si="8"/>
        <v>4470</v>
      </c>
      <c r="DO17" s="1968"/>
      <c r="DP17" s="123" t="s">
        <v>889</v>
      </c>
      <c r="DQ17" s="123" t="s">
        <v>202</v>
      </c>
      <c r="DR17" s="388">
        <v>4470</v>
      </c>
      <c r="DV17" s="434" t="s">
        <v>1129</v>
      </c>
      <c r="DW17" s="1414">
        <f>EB18/1000</f>
        <v>0.12005</v>
      </c>
      <c r="DY17" s="1971"/>
      <c r="DZ17" s="402" t="s">
        <v>1128</v>
      </c>
      <c r="EA17" s="402" t="s">
        <v>316</v>
      </c>
      <c r="EB17" s="403">
        <v>1401</v>
      </c>
      <c r="EC17" s="405" t="s">
        <v>1736</v>
      </c>
      <c r="ED17" s="405" t="s">
        <v>1736</v>
      </c>
      <c r="EE17" s="403">
        <v>676</v>
      </c>
      <c r="EG17" s="158" t="s">
        <v>721</v>
      </c>
      <c r="EH17" s="163" t="s">
        <v>713</v>
      </c>
      <c r="EI17" s="163" t="s">
        <v>197</v>
      </c>
      <c r="EJ17" s="163" t="str">
        <f t="shared" si="10"/>
        <v>Truck, rigid axel &gt;17 tonnes|Petrol|km</v>
      </c>
      <c r="EK17" s="378" t="s">
        <v>1749</v>
      </c>
      <c r="EL17" s="378" t="s">
        <v>1749</v>
      </c>
      <c r="EM17" s="378" t="s">
        <v>1749</v>
      </c>
      <c r="EN17" s="378" t="s">
        <v>1749</v>
      </c>
      <c r="EP17" s="1994"/>
      <c r="EQ17" s="1968" t="s">
        <v>1752</v>
      </c>
      <c r="ER17" s="123" t="s">
        <v>1093</v>
      </c>
      <c r="ES17" s="295">
        <v>0.61628000000000005</v>
      </c>
      <c r="ET17" s="295">
        <v>0.61172000000000004</v>
      </c>
      <c r="EU17" s="295">
        <v>1.0000000000000001E-5</v>
      </c>
      <c r="EV17" s="295">
        <v>4.5599999999999998E-3</v>
      </c>
      <c r="EW17" s="295">
        <v>0.72680999999999996</v>
      </c>
      <c r="EX17" s="295">
        <v>0.72413000000000005</v>
      </c>
      <c r="EY17" s="295">
        <v>7.9000000000000001E-4</v>
      </c>
      <c r="EZ17" s="295">
        <v>1.89E-3</v>
      </c>
    </row>
    <row r="18" spans="1:164" ht="16.5" x14ac:dyDescent="0.35">
      <c r="A18" s="1979"/>
      <c r="B18" s="158" t="s">
        <v>576</v>
      </c>
      <c r="C18" s="161" t="s">
        <v>581</v>
      </c>
      <c r="D18" s="159" t="str">
        <f t="shared" si="0"/>
        <v>Biomethane|Cubic metres (m3)</v>
      </c>
      <c r="E18" s="1275">
        <f>E17*'Fuel properties'!G43</f>
        <v>8.6358374999999995E-4</v>
      </c>
      <c r="F18" s="1275">
        <f>F17*'Fuel properties'!G43</f>
        <v>0</v>
      </c>
      <c r="G18" s="1275">
        <f>G17*'Fuel properties'!G43</f>
        <v>0</v>
      </c>
      <c r="H18" s="1275">
        <f>H17*'Fuel properties'!G43</f>
        <v>0</v>
      </c>
      <c r="J18" s="1373"/>
      <c r="K18" s="1372"/>
      <c r="L18" s="123" t="s">
        <v>1737</v>
      </c>
      <c r="M18" s="126">
        <v>0.18454999999999999</v>
      </c>
      <c r="N18" s="126">
        <v>0.18421000000000001</v>
      </c>
      <c r="O18" s="126">
        <v>2.5000000000000001E-4</v>
      </c>
      <c r="P18" s="126">
        <v>1E-4</v>
      </c>
      <c r="R18" s="150"/>
      <c r="S18" s="152"/>
      <c r="T18" s="123" t="s">
        <v>202</v>
      </c>
      <c r="U18" s="126">
        <v>0.18629999999999999</v>
      </c>
      <c r="Y18" s="244" t="s">
        <v>818</v>
      </c>
      <c r="Z18" s="244">
        <v>0.1</v>
      </c>
      <c r="AA18" s="244" t="str">
        <f t="shared" si="4"/>
        <v>Halothane/Fluothane|0.1</v>
      </c>
      <c r="AB18" s="244">
        <v>0.19</v>
      </c>
      <c r="AK18" s="235"/>
      <c r="AL18" s="161" t="s">
        <v>1756</v>
      </c>
      <c r="AM18" s="168"/>
      <c r="AN18" s="313"/>
      <c r="AP18" s="159" t="s">
        <v>759</v>
      </c>
      <c r="AQ18" s="158" t="s">
        <v>753</v>
      </c>
      <c r="AR18" s="164" t="str">
        <f t="shared" si="5"/>
        <v>International flights-Business class|miles</v>
      </c>
      <c r="AS18" s="299" t="s">
        <v>1724</v>
      </c>
      <c r="AT18" s="299" t="s">
        <v>1724</v>
      </c>
      <c r="AU18" s="299" t="s">
        <v>1724</v>
      </c>
      <c r="AV18" s="299" t="s">
        <v>1724</v>
      </c>
      <c r="AX18" s="1992"/>
      <c r="AY18" s="1994"/>
      <c r="AZ18" s="288" t="s">
        <v>1738</v>
      </c>
      <c r="BA18" s="290" t="s">
        <v>751</v>
      </c>
      <c r="BB18" s="291">
        <v>0.13924520000000001</v>
      </c>
      <c r="BC18" s="291">
        <v>0.13855000000000001</v>
      </c>
      <c r="BD18" s="291">
        <v>5.2000000000000002E-6</v>
      </c>
      <c r="BE18" s="291">
        <v>6.8999999999999997E-4</v>
      </c>
      <c r="BO18" s="1977"/>
      <c r="BP18" s="1963" t="s">
        <v>1763</v>
      </c>
      <c r="BQ18" s="123" t="s">
        <v>197</v>
      </c>
      <c r="BR18" s="297">
        <v>0.10086000000000001</v>
      </c>
      <c r="BS18" s="297">
        <v>9.8159999999999997E-2</v>
      </c>
      <c r="BT18" s="297">
        <v>2.0999999999999999E-3</v>
      </c>
      <c r="BU18" s="297">
        <v>5.9999999999999995E-4</v>
      </c>
      <c r="BW18" s="158" t="s">
        <v>721</v>
      </c>
      <c r="BX18" s="158" t="s">
        <v>715</v>
      </c>
      <c r="BY18" s="158" t="str">
        <f t="shared" si="6"/>
        <v>Truck, rigid axel &gt;17 tonnes|Diesel</v>
      </c>
      <c r="BZ18" s="377">
        <f>CT24</f>
        <v>0.96431999999999995</v>
      </c>
      <c r="CA18" s="377">
        <f t="shared" ref="CA18:CC18" si="32">CU24</f>
        <v>0.95259000000000005</v>
      </c>
      <c r="CB18" s="377">
        <f t="shared" si="32"/>
        <v>1.9000000000000001E-4</v>
      </c>
      <c r="CC18" s="377">
        <f t="shared" si="32"/>
        <v>1.153E-2</v>
      </c>
      <c r="CE18" s="345"/>
      <c r="CF18" s="345"/>
      <c r="CG18" s="345"/>
      <c r="CH18" s="1972" t="s">
        <v>1764</v>
      </c>
      <c r="CI18" s="1972"/>
      <c r="CJ18" s="1972"/>
      <c r="CK18" s="1972"/>
      <c r="CL18" s="1972" t="s">
        <v>1765</v>
      </c>
      <c r="CM18" s="1972"/>
      <c r="CN18" s="1972"/>
      <c r="CO18" s="1972"/>
      <c r="CP18" s="1972" t="s">
        <v>1766</v>
      </c>
      <c r="CQ18" s="1972"/>
      <c r="CR18" s="1972"/>
      <c r="CS18" s="1973"/>
      <c r="CT18" s="1975" t="s">
        <v>1767</v>
      </c>
      <c r="CU18" s="1975"/>
      <c r="CV18" s="1975"/>
      <c r="CW18" s="1975"/>
      <c r="CX18" s="344"/>
      <c r="CY18" s="345"/>
      <c r="CZ18" s="345"/>
      <c r="DA18" s="345"/>
      <c r="DB18" s="345"/>
      <c r="DC18" s="345"/>
      <c r="DD18" s="345"/>
      <c r="DE18" s="345"/>
      <c r="DF18" s="345"/>
      <c r="DG18" s="345"/>
      <c r="DH18" s="345"/>
      <c r="DI18" s="345"/>
      <c r="DK18" s="1967"/>
      <c r="DL18" s="1388" t="s">
        <v>891</v>
      </c>
      <c r="DM18" s="1389">
        <f t="shared" si="8"/>
        <v>124</v>
      </c>
      <c r="DO18" s="1968"/>
      <c r="DP18" s="123" t="s">
        <v>891</v>
      </c>
      <c r="DQ18" s="123" t="s">
        <v>202</v>
      </c>
      <c r="DR18" s="388">
        <v>124</v>
      </c>
      <c r="DV18" s="161" t="s">
        <v>1130</v>
      </c>
      <c r="DW18" s="1414">
        <f>EB19/1000</f>
        <v>3.3355718999999997</v>
      </c>
      <c r="DY18" s="1971"/>
      <c r="DZ18" s="402" t="s">
        <v>1768</v>
      </c>
      <c r="EA18" s="402" t="s">
        <v>316</v>
      </c>
      <c r="EB18" s="403">
        <v>120.05</v>
      </c>
      <c r="EC18" s="405" t="s">
        <v>1736</v>
      </c>
      <c r="ED18" s="405" t="s">
        <v>1736</v>
      </c>
      <c r="EE18" s="403">
        <v>32.17</v>
      </c>
      <c r="EG18" s="158" t="s">
        <v>721</v>
      </c>
      <c r="EH18" s="158" t="s">
        <v>715</v>
      </c>
      <c r="EI18" s="163" t="s">
        <v>197</v>
      </c>
      <c r="EJ18" s="163" t="str">
        <f t="shared" si="10"/>
        <v>Truck, rigid axel &gt;17 tonnes|Diesel|km</v>
      </c>
      <c r="EK18" s="377">
        <f>FE31</f>
        <v>1.14798</v>
      </c>
      <c r="EL18" s="377">
        <f t="shared" ref="EL18:EN18" si="33">FF31</f>
        <v>1.13625</v>
      </c>
      <c r="EM18" s="377">
        <f t="shared" si="33"/>
        <v>1.9000000000000001E-4</v>
      </c>
      <c r="EN18" s="377">
        <f t="shared" si="33"/>
        <v>1.153E-2</v>
      </c>
      <c r="EP18" s="1994"/>
      <c r="EQ18" s="1968"/>
      <c r="ER18" s="123" t="s">
        <v>197</v>
      </c>
      <c r="ES18" s="295">
        <v>0.24709999999999999</v>
      </c>
      <c r="ET18" s="295">
        <v>0.24526999999999999</v>
      </c>
      <c r="EU18" s="295">
        <v>0</v>
      </c>
      <c r="EV18" s="295">
        <v>1.83E-3</v>
      </c>
      <c r="EW18" s="295">
        <v>0.21962000000000001</v>
      </c>
      <c r="EX18" s="295">
        <v>0.21881</v>
      </c>
      <c r="EY18" s="295">
        <v>2.4000000000000001E-4</v>
      </c>
      <c r="EZ18" s="295">
        <v>5.6999999999999998E-4</v>
      </c>
    </row>
    <row r="19" spans="1:164" ht="30" x14ac:dyDescent="0.45">
      <c r="A19" s="1979"/>
      <c r="B19" s="158" t="s">
        <v>582</v>
      </c>
      <c r="C19" s="159" t="s">
        <v>563</v>
      </c>
      <c r="D19" s="159" t="str">
        <f t="shared" si="0"/>
        <v>Liquid Petroleum Gas (LPG)|Kilowatt hours (KWh)</v>
      </c>
      <c r="E19" s="1276">
        <f>M22</f>
        <v>0.21448</v>
      </c>
      <c r="F19" s="1276">
        <f>N22</f>
        <v>0.21418999999999999</v>
      </c>
      <c r="G19" s="1276">
        <f>O22</f>
        <v>1.6000000000000001E-4</v>
      </c>
      <c r="H19" s="1276">
        <f>P22</f>
        <v>1.3999999999999999E-4</v>
      </c>
      <c r="J19" s="1373"/>
      <c r="K19" s="1370" t="s">
        <v>1705</v>
      </c>
      <c r="L19" s="123" t="s">
        <v>316</v>
      </c>
      <c r="M19" s="125">
        <v>2938.81</v>
      </c>
      <c r="N19" s="125">
        <v>2934.82</v>
      </c>
      <c r="O19" s="125">
        <v>2.14</v>
      </c>
      <c r="P19" s="125">
        <v>1.86</v>
      </c>
      <c r="R19" s="150"/>
      <c r="S19" s="152" t="s">
        <v>1769</v>
      </c>
      <c r="T19" s="123" t="s">
        <v>199</v>
      </c>
      <c r="U19" s="126">
        <v>0.1658</v>
      </c>
      <c r="Y19" s="244" t="s">
        <v>818</v>
      </c>
      <c r="Z19" s="244">
        <v>0.05</v>
      </c>
      <c r="AA19" s="244" t="str">
        <f t="shared" si="4"/>
        <v>Halothane/Fluothane|0.05</v>
      </c>
      <c r="AB19" s="244">
        <v>0.09</v>
      </c>
      <c r="AK19" s="235" t="s">
        <v>1770</v>
      </c>
      <c r="AL19" s="159" t="s">
        <v>1007</v>
      </c>
      <c r="AM19" s="168"/>
      <c r="AN19" s="313"/>
      <c r="AP19" s="159" t="s">
        <v>760</v>
      </c>
      <c r="AQ19" s="158" t="s">
        <v>751</v>
      </c>
      <c r="AR19" s="164" t="str">
        <f t="shared" si="5"/>
        <v>International flights-First class|passenger.km</v>
      </c>
      <c r="AS19" s="299">
        <f>BB21</f>
        <v>0.55695000000000006</v>
      </c>
      <c r="AT19" s="299">
        <f t="shared" ref="AT19:AV19" si="34">BC21</f>
        <v>0.55417000000000005</v>
      </c>
      <c r="AU19" s="299">
        <f t="shared" si="34"/>
        <v>2.0000000000000002E-5</v>
      </c>
      <c r="AV19" s="299">
        <f t="shared" si="34"/>
        <v>2.7599999999999999E-3</v>
      </c>
      <c r="AX19" s="1992"/>
      <c r="AY19" s="1994"/>
      <c r="AZ19" s="288" t="s">
        <v>1751</v>
      </c>
      <c r="BA19" s="290" t="s">
        <v>751</v>
      </c>
      <c r="BB19" s="291">
        <v>0.22278000000000001</v>
      </c>
      <c r="BC19" s="291">
        <v>0.22167000000000001</v>
      </c>
      <c r="BD19" s="291">
        <v>1.0000000000000001E-5</v>
      </c>
      <c r="BE19" s="291">
        <v>1.1000000000000001E-3</v>
      </c>
      <c r="BO19" s="1977"/>
      <c r="BP19" s="1963"/>
      <c r="BQ19" s="123" t="s">
        <v>753</v>
      </c>
      <c r="BR19" s="297">
        <v>0.1623</v>
      </c>
      <c r="BS19" s="297">
        <v>0.15797</v>
      </c>
      <c r="BT19" s="297">
        <v>3.3700000000000002E-3</v>
      </c>
      <c r="BU19" s="297">
        <v>9.6000000000000002E-4</v>
      </c>
      <c r="BW19" s="158" t="s">
        <v>722</v>
      </c>
      <c r="BX19" s="158" t="s">
        <v>713</v>
      </c>
      <c r="BY19" s="158" t="str">
        <f t="shared" si="6"/>
        <v>Refrigerated truck, rigid axel &gt;3.5 - 7.5 tonnes|Petrol</v>
      </c>
      <c r="BZ19" s="377" t="s">
        <v>1748</v>
      </c>
      <c r="CA19" s="377" t="s">
        <v>1748</v>
      </c>
      <c r="CB19" s="377" t="s">
        <v>1748</v>
      </c>
      <c r="CC19" s="377" t="s">
        <v>1748</v>
      </c>
      <c r="CE19" s="122" t="s">
        <v>1688</v>
      </c>
      <c r="CF19" s="122" t="s">
        <v>1702</v>
      </c>
      <c r="CG19" s="122" t="s">
        <v>1689</v>
      </c>
      <c r="CH19" s="123" t="s">
        <v>1690</v>
      </c>
      <c r="CI19" s="123" t="s">
        <v>1691</v>
      </c>
      <c r="CJ19" s="123" t="s">
        <v>1692</v>
      </c>
      <c r="CK19" s="123" t="s">
        <v>1693</v>
      </c>
      <c r="CL19" s="123" t="s">
        <v>1690</v>
      </c>
      <c r="CM19" s="123" t="s">
        <v>1691</v>
      </c>
      <c r="CN19" s="123" t="s">
        <v>1692</v>
      </c>
      <c r="CO19" s="123" t="s">
        <v>1693</v>
      </c>
      <c r="CP19" s="123" t="s">
        <v>1690</v>
      </c>
      <c r="CQ19" s="123" t="s">
        <v>1691</v>
      </c>
      <c r="CR19" s="123" t="s">
        <v>1692</v>
      </c>
      <c r="CS19" s="339" t="s">
        <v>1693</v>
      </c>
      <c r="CT19" s="349" t="s">
        <v>1690</v>
      </c>
      <c r="CU19" s="349" t="s">
        <v>1691</v>
      </c>
      <c r="CV19" s="349" t="s">
        <v>1692</v>
      </c>
      <c r="CW19" s="349" t="s">
        <v>1693</v>
      </c>
      <c r="CX19" s="345"/>
      <c r="CY19" s="353" t="s">
        <v>1688</v>
      </c>
      <c r="CZ19" s="343" t="s">
        <v>1702</v>
      </c>
      <c r="DA19" s="122" t="s">
        <v>1689</v>
      </c>
      <c r="DB19" s="123" t="s">
        <v>1690</v>
      </c>
      <c r="DC19" s="123" t="s">
        <v>1691</v>
      </c>
      <c r="DD19" s="123" t="s">
        <v>1692</v>
      </c>
      <c r="DE19" s="123" t="s">
        <v>1693</v>
      </c>
      <c r="DF19" s="345"/>
      <c r="DG19" s="345"/>
      <c r="DH19" s="345"/>
      <c r="DI19" s="345"/>
      <c r="DK19" s="1967"/>
      <c r="DL19" s="1388" t="s">
        <v>893</v>
      </c>
      <c r="DM19" s="1389">
        <f t="shared" si="8"/>
        <v>3220</v>
      </c>
      <c r="DO19" s="1968"/>
      <c r="DP19" s="123" t="s">
        <v>893</v>
      </c>
      <c r="DQ19" s="123" t="s">
        <v>202</v>
      </c>
      <c r="DR19" s="388">
        <v>3220</v>
      </c>
      <c r="DV19" s="161" t="s">
        <v>1131</v>
      </c>
      <c r="DW19" s="1414">
        <f>EB20/1000</f>
        <v>0.3126118</v>
      </c>
      <c r="DY19" s="1971"/>
      <c r="DZ19" s="402" t="s">
        <v>1130</v>
      </c>
      <c r="EA19" s="402" t="s">
        <v>316</v>
      </c>
      <c r="EB19" s="403">
        <v>3335.5718999999999</v>
      </c>
      <c r="EC19" s="403">
        <v>731.21789999999999</v>
      </c>
      <c r="ED19" s="403">
        <v>308.40019999999998</v>
      </c>
      <c r="EE19" s="405" t="s">
        <v>1736</v>
      </c>
      <c r="EG19" s="158" t="s">
        <v>722</v>
      </c>
      <c r="EH19" s="163" t="s">
        <v>713</v>
      </c>
      <c r="EI19" s="163" t="s">
        <v>197</v>
      </c>
      <c r="EJ19" s="163" t="str">
        <f t="shared" si="10"/>
        <v>Refrigerated truck, rigid axel &gt;3.5 - 7.5 tonnes|Petrol|km</v>
      </c>
      <c r="EK19" s="378" t="s">
        <v>1749</v>
      </c>
      <c r="EL19" s="378" t="s">
        <v>1749</v>
      </c>
      <c r="EM19" s="378" t="s">
        <v>1749</v>
      </c>
      <c r="EN19" s="378" t="s">
        <v>1749</v>
      </c>
      <c r="EP19" s="1994"/>
      <c r="EQ19" s="1968"/>
      <c r="ER19" s="123" t="s">
        <v>753</v>
      </c>
      <c r="ES19" s="295">
        <v>0.39767000000000002</v>
      </c>
      <c r="ET19" s="295">
        <v>0.39472000000000002</v>
      </c>
      <c r="EU19" s="295">
        <v>1.0000000000000001E-5</v>
      </c>
      <c r="EV19" s="295">
        <v>2.9399999999999999E-3</v>
      </c>
      <c r="EW19" s="295">
        <v>0.35344999999999999</v>
      </c>
      <c r="EX19" s="295">
        <v>0.35215000000000002</v>
      </c>
      <c r="EY19" s="295">
        <v>3.8000000000000002E-4</v>
      </c>
      <c r="EZ19" s="295">
        <v>9.2000000000000003E-4</v>
      </c>
    </row>
    <row r="20" spans="1:164" x14ac:dyDescent="0.35">
      <c r="A20" s="1979"/>
      <c r="B20" s="158" t="s">
        <v>582</v>
      </c>
      <c r="C20" s="159" t="s">
        <v>575</v>
      </c>
      <c r="D20" s="159" t="str">
        <f t="shared" si="0"/>
        <v>Liquid Petroleum Gas (LPG)|Litres (l)</v>
      </c>
      <c r="E20" s="1276">
        <f>M20</f>
        <v>1.5553699999999999</v>
      </c>
      <c r="F20" s="1276">
        <f>N20</f>
        <v>1.55325</v>
      </c>
      <c r="G20" s="1276">
        <f>O20</f>
        <v>1.1299999999999999E-3</v>
      </c>
      <c r="H20" s="1276">
        <f>P20</f>
        <v>9.8999999999999999E-4</v>
      </c>
      <c r="J20" s="1373"/>
      <c r="K20" s="1371"/>
      <c r="L20" s="123" t="s">
        <v>199</v>
      </c>
      <c r="M20" s="126">
        <v>1.5553699999999999</v>
      </c>
      <c r="N20" s="126">
        <v>1.55325</v>
      </c>
      <c r="O20" s="126">
        <v>1.1299999999999999E-3</v>
      </c>
      <c r="P20" s="126">
        <v>9.8999999999999999E-4</v>
      </c>
      <c r="R20" s="150"/>
      <c r="S20" s="152"/>
      <c r="T20" s="123" t="s">
        <v>1722</v>
      </c>
      <c r="U20" s="126">
        <v>5.0079700000000003</v>
      </c>
      <c r="Y20" s="244" t="s">
        <v>818</v>
      </c>
      <c r="Z20" s="244">
        <v>0.03</v>
      </c>
      <c r="AA20" s="244" t="str">
        <f t="shared" si="4"/>
        <v>Halothane/Fluothane|0.03</v>
      </c>
      <c r="AB20" s="244">
        <v>0.06</v>
      </c>
      <c r="AK20" s="235"/>
      <c r="AL20" s="159" t="s">
        <v>1750</v>
      </c>
      <c r="AM20" s="168"/>
      <c r="AN20" s="313"/>
      <c r="AP20" s="159" t="s">
        <v>760</v>
      </c>
      <c r="AQ20" s="158" t="s">
        <v>197</v>
      </c>
      <c r="AR20" s="164" t="str">
        <f t="shared" si="5"/>
        <v>International flights-First class|km</v>
      </c>
      <c r="AS20" s="299" t="s">
        <v>1724</v>
      </c>
      <c r="AT20" s="299" t="s">
        <v>1724</v>
      </c>
      <c r="AU20" s="299" t="s">
        <v>1724</v>
      </c>
      <c r="AV20" s="299" t="s">
        <v>1724</v>
      </c>
      <c r="AX20" s="1992"/>
      <c r="AY20" s="1994"/>
      <c r="AZ20" s="288" t="s">
        <v>1741</v>
      </c>
      <c r="BA20" s="290" t="s">
        <v>751</v>
      </c>
      <c r="BB20" s="291">
        <v>0.40379000000000004</v>
      </c>
      <c r="BC20" s="291">
        <v>0.40177000000000002</v>
      </c>
      <c r="BD20" s="291">
        <v>2.0000000000000002E-5</v>
      </c>
      <c r="BE20" s="291">
        <v>2E-3</v>
      </c>
      <c r="BO20" s="1977"/>
      <c r="BP20" s="1963" t="s">
        <v>1771</v>
      </c>
      <c r="BQ20" s="123" t="s">
        <v>197</v>
      </c>
      <c r="BR20" s="297">
        <v>0.13236999999999999</v>
      </c>
      <c r="BS20" s="297">
        <v>0.13058</v>
      </c>
      <c r="BT20" s="297">
        <v>1.1900000000000001E-3</v>
      </c>
      <c r="BU20" s="297">
        <v>5.9999999999999995E-4</v>
      </c>
      <c r="BW20" s="158" t="s">
        <v>722</v>
      </c>
      <c r="BX20" s="158" t="s">
        <v>715</v>
      </c>
      <c r="BY20" s="158" t="str">
        <f t="shared" si="6"/>
        <v>Refrigerated truck, rigid axel &gt;3.5 - 7.5 tonnes|Diesel</v>
      </c>
      <c r="BZ20" s="377">
        <f>CT20</f>
        <v>0.48250999999999999</v>
      </c>
      <c r="CA20" s="377">
        <f t="shared" ref="CA20:CC20" si="35">CU20</f>
        <v>0.47664000000000001</v>
      </c>
      <c r="CB20" s="377">
        <f t="shared" si="35"/>
        <v>1E-4</v>
      </c>
      <c r="CC20" s="377">
        <f t="shared" si="35"/>
        <v>5.77E-3</v>
      </c>
      <c r="CE20" s="1963" t="s">
        <v>1772</v>
      </c>
      <c r="CF20" s="1963" t="s">
        <v>1773</v>
      </c>
      <c r="CG20" s="123" t="s">
        <v>197</v>
      </c>
      <c r="CH20" s="296">
        <v>0.44862999999999997</v>
      </c>
      <c r="CI20" s="336">
        <v>0.44275999999999999</v>
      </c>
      <c r="CJ20" s="336">
        <v>1E-4</v>
      </c>
      <c r="CK20" s="336">
        <v>5.77E-3</v>
      </c>
      <c r="CL20" s="336">
        <v>0.48713000000000001</v>
      </c>
      <c r="CM20" s="336">
        <v>0.48126000000000002</v>
      </c>
      <c r="CN20" s="336">
        <v>1E-4</v>
      </c>
      <c r="CO20" s="336">
        <v>5.77E-3</v>
      </c>
      <c r="CP20" s="336">
        <v>0.52563000000000004</v>
      </c>
      <c r="CQ20" s="336">
        <v>0.51976</v>
      </c>
      <c r="CR20" s="336">
        <v>1E-4</v>
      </c>
      <c r="CS20" s="342">
        <v>5.77E-3</v>
      </c>
      <c r="CT20" s="352">
        <v>0.48250999999999999</v>
      </c>
      <c r="CU20" s="352">
        <v>0.47664000000000001</v>
      </c>
      <c r="CV20" s="352">
        <v>1E-4</v>
      </c>
      <c r="CW20" s="352">
        <v>5.77E-3</v>
      </c>
      <c r="CX20" s="348"/>
      <c r="CY20" s="1969" t="s">
        <v>679</v>
      </c>
      <c r="CZ20" s="1970" t="s">
        <v>1760</v>
      </c>
      <c r="DA20" s="123" t="s">
        <v>197</v>
      </c>
      <c r="DB20" s="126">
        <v>8.2769999999999996E-2</v>
      </c>
      <c r="DC20" s="126">
        <v>8.0860000000000001E-2</v>
      </c>
      <c r="DD20" s="126">
        <v>1.6100000000000001E-3</v>
      </c>
      <c r="DE20" s="126">
        <v>2.9999999999999997E-4</v>
      </c>
      <c r="DF20" s="345"/>
      <c r="DG20" s="345"/>
      <c r="DH20" s="345"/>
      <c r="DI20" s="345"/>
      <c r="DK20" s="1967"/>
      <c r="DL20" s="1388" t="s">
        <v>895</v>
      </c>
      <c r="DM20" s="1389">
        <f t="shared" si="8"/>
        <v>9810</v>
      </c>
      <c r="DO20" s="1968"/>
      <c r="DP20" s="123" t="s">
        <v>895</v>
      </c>
      <c r="DQ20" s="123" t="s">
        <v>202</v>
      </c>
      <c r="DR20" s="388">
        <v>9810</v>
      </c>
      <c r="DV20" s="161" t="s">
        <v>1774</v>
      </c>
      <c r="DW20" s="1414">
        <f>EB25/1000</f>
        <v>1.4027666666666665</v>
      </c>
      <c r="DY20" s="1971"/>
      <c r="DZ20" s="402" t="s">
        <v>1131</v>
      </c>
      <c r="EA20" s="402" t="s">
        <v>316</v>
      </c>
      <c r="EB20" s="403">
        <v>312.61180000000002</v>
      </c>
      <c r="EC20" s="403">
        <v>38.542900000000003</v>
      </c>
      <c r="ED20" s="403">
        <v>259.13150000000002</v>
      </c>
      <c r="EE20" s="403">
        <v>112.9697</v>
      </c>
      <c r="EG20" s="158" t="s">
        <v>722</v>
      </c>
      <c r="EH20" s="158" t="s">
        <v>715</v>
      </c>
      <c r="EI20" s="163" t="s">
        <v>197</v>
      </c>
      <c r="EJ20" s="163" t="str">
        <f t="shared" si="10"/>
        <v>Refrigerated truck, rigid axel &gt;3.5 - 7.5 tonnes|Diesel|km</v>
      </c>
      <c r="EK20" s="377">
        <f>FE53</f>
        <v>0.57440999999999998</v>
      </c>
      <c r="EL20" s="377">
        <f t="shared" ref="EL20:EN20" si="36">FF53</f>
        <v>0.56854000000000005</v>
      </c>
      <c r="EM20" s="377">
        <f t="shared" si="36"/>
        <v>1E-4</v>
      </c>
      <c r="EN20" s="377">
        <f t="shared" si="36"/>
        <v>5.77E-3</v>
      </c>
      <c r="EP20" s="493"/>
      <c r="EQ20" s="494"/>
      <c r="ER20" s="345"/>
      <c r="ES20" s="345"/>
      <c r="ET20" s="345"/>
      <c r="EU20" s="345"/>
      <c r="EV20" s="345"/>
      <c r="EW20" s="345"/>
      <c r="EX20" s="345"/>
      <c r="EY20" s="345"/>
      <c r="EZ20" s="345"/>
    </row>
    <row r="21" spans="1:164" x14ac:dyDescent="0.35">
      <c r="A21" s="1979"/>
      <c r="B21" s="158" t="s">
        <v>582</v>
      </c>
      <c r="C21" s="159" t="s">
        <v>569</v>
      </c>
      <c r="D21" s="159" t="str">
        <f t="shared" si="0"/>
        <v>Liquid Petroleum Gas (LPG)|Kilograms (kg)</v>
      </c>
      <c r="E21" s="169">
        <f>M19/1000</f>
        <v>2.9388100000000001</v>
      </c>
      <c r="F21" s="169">
        <f>N19/1000</f>
        <v>2.9348200000000002</v>
      </c>
      <c r="G21" s="169">
        <f>O19/1000</f>
        <v>2.14E-3</v>
      </c>
      <c r="H21" s="169">
        <f>P19/1000</f>
        <v>1.8600000000000001E-3</v>
      </c>
      <c r="J21" s="1373"/>
      <c r="K21" s="1371"/>
      <c r="L21" s="123" t="s">
        <v>1733</v>
      </c>
      <c r="M21" s="126">
        <v>0.2303</v>
      </c>
      <c r="N21" s="126">
        <v>0.22999</v>
      </c>
      <c r="O21" s="126">
        <v>1.7000000000000001E-4</v>
      </c>
      <c r="P21" s="126">
        <v>1.4999999999999999E-4</v>
      </c>
      <c r="R21" s="150"/>
      <c r="S21" s="152"/>
      <c r="T21" s="123" t="s">
        <v>202</v>
      </c>
      <c r="U21" s="126">
        <v>0.18629999999999999</v>
      </c>
      <c r="Y21" s="244" t="s">
        <v>812</v>
      </c>
      <c r="Z21" s="244">
        <v>0.25</v>
      </c>
      <c r="AA21" s="244" t="str">
        <f t="shared" si="4"/>
        <v>Sevoflurane/Ultane|0.25</v>
      </c>
      <c r="AB21" s="244">
        <v>0.38</v>
      </c>
      <c r="AK21" s="235"/>
      <c r="AL21" s="161" t="s">
        <v>1756</v>
      </c>
      <c r="AM21" s="168"/>
      <c r="AN21" s="313"/>
      <c r="AP21" s="159" t="s">
        <v>760</v>
      </c>
      <c r="AQ21" s="158" t="s">
        <v>753</v>
      </c>
      <c r="AR21" s="164" t="str">
        <f t="shared" si="5"/>
        <v>International flights-First class|miles</v>
      </c>
      <c r="AS21" s="299" t="s">
        <v>1724</v>
      </c>
      <c r="AT21" s="299" t="s">
        <v>1724</v>
      </c>
      <c r="AU21" s="299" t="s">
        <v>1724</v>
      </c>
      <c r="AV21" s="299" t="s">
        <v>1724</v>
      </c>
      <c r="AX21" s="1993"/>
      <c r="AY21" s="1995"/>
      <c r="AZ21" s="293" t="s">
        <v>1759</v>
      </c>
      <c r="BA21" s="294" t="s">
        <v>751</v>
      </c>
      <c r="BB21" s="291">
        <v>0.55695000000000006</v>
      </c>
      <c r="BC21" s="291">
        <v>0.55417000000000005</v>
      </c>
      <c r="BD21" s="291">
        <v>2.0000000000000002E-5</v>
      </c>
      <c r="BE21" s="291">
        <v>2.7599999999999999E-3</v>
      </c>
      <c r="BO21" s="1978"/>
      <c r="BP21" s="1963"/>
      <c r="BQ21" s="123" t="s">
        <v>753</v>
      </c>
      <c r="BR21" s="297">
        <v>0.21301999999999999</v>
      </c>
      <c r="BS21" s="297">
        <v>0.21015</v>
      </c>
      <c r="BT21" s="297">
        <v>1.91E-3</v>
      </c>
      <c r="BU21" s="297">
        <v>9.6000000000000002E-4</v>
      </c>
      <c r="BW21" s="158" t="s">
        <v>723</v>
      </c>
      <c r="BX21" s="158" t="s">
        <v>713</v>
      </c>
      <c r="BY21" s="158" t="str">
        <f t="shared" si="6"/>
        <v>Refrigerated truck, rigid axel &gt;7.5 tonnes-17 tonnes|Petrol</v>
      </c>
      <c r="BZ21" s="377" t="s">
        <v>1748</v>
      </c>
      <c r="CA21" s="377" t="s">
        <v>1748</v>
      </c>
      <c r="CB21" s="377" t="s">
        <v>1748</v>
      </c>
      <c r="CC21" s="377" t="s">
        <v>1748</v>
      </c>
      <c r="CE21" s="1963"/>
      <c r="CF21" s="1963"/>
      <c r="CG21" s="123" t="s">
        <v>753</v>
      </c>
      <c r="CH21" s="336">
        <v>0.72199999999999998</v>
      </c>
      <c r="CI21" s="336">
        <v>0.71255000000000002</v>
      </c>
      <c r="CJ21" s="336">
        <v>1.6000000000000001E-4</v>
      </c>
      <c r="CK21" s="336">
        <v>9.2899999999999996E-3</v>
      </c>
      <c r="CL21" s="336">
        <v>0.78395999999999999</v>
      </c>
      <c r="CM21" s="336">
        <v>0.77451000000000003</v>
      </c>
      <c r="CN21" s="336">
        <v>1.6000000000000001E-4</v>
      </c>
      <c r="CO21" s="336">
        <v>9.2899999999999996E-3</v>
      </c>
      <c r="CP21" s="336">
        <v>0.84592000000000001</v>
      </c>
      <c r="CQ21" s="336">
        <v>0.83647000000000005</v>
      </c>
      <c r="CR21" s="336">
        <v>1.6000000000000001E-4</v>
      </c>
      <c r="CS21" s="342">
        <v>9.2899999999999996E-3</v>
      </c>
      <c r="CT21" s="352">
        <v>0.77651999999999999</v>
      </c>
      <c r="CU21" s="352">
        <v>0.76707999999999998</v>
      </c>
      <c r="CV21" s="352">
        <v>1.6000000000000001E-4</v>
      </c>
      <c r="CW21" s="352">
        <v>9.2899999999999996E-3</v>
      </c>
      <c r="CX21" s="348"/>
      <c r="CY21" s="1969"/>
      <c r="CZ21" s="1970"/>
      <c r="DA21" s="123" t="s">
        <v>753</v>
      </c>
      <c r="DB21" s="126">
        <v>0.13321</v>
      </c>
      <c r="DC21" s="126">
        <v>0.13013</v>
      </c>
      <c r="DD21" s="126">
        <v>2.5999999999999999E-3</v>
      </c>
      <c r="DE21" s="126">
        <v>4.8000000000000001E-4</v>
      </c>
      <c r="DF21" s="345"/>
      <c r="DG21" s="345"/>
      <c r="DH21" s="345"/>
      <c r="DI21" s="345"/>
      <c r="DK21" s="1967"/>
      <c r="DL21" s="1388" t="s">
        <v>896</v>
      </c>
      <c r="DM21" s="1389">
        <f t="shared" si="8"/>
        <v>1030</v>
      </c>
      <c r="DO21" s="1968"/>
      <c r="DP21" s="123" t="s">
        <v>896</v>
      </c>
      <c r="DQ21" s="123" t="s">
        <v>202</v>
      </c>
      <c r="DR21" s="388">
        <v>1030</v>
      </c>
      <c r="DV21" s="161" t="s">
        <v>1775</v>
      </c>
      <c r="DW21" s="1414">
        <f>EB33/1000</f>
        <v>3.2767069334313006</v>
      </c>
      <c r="EG21" s="158" t="s">
        <v>723</v>
      </c>
      <c r="EH21" s="163" t="s">
        <v>713</v>
      </c>
      <c r="EI21" s="163" t="s">
        <v>197</v>
      </c>
      <c r="EJ21" s="163" t="str">
        <f t="shared" si="10"/>
        <v>Refrigerated truck, rigid axel &gt;7.5 tonnes-17 tonnes|Petrol|km</v>
      </c>
      <c r="EK21" s="378" t="s">
        <v>1749</v>
      </c>
      <c r="EL21" s="378" t="s">
        <v>1749</v>
      </c>
      <c r="EM21" s="378" t="s">
        <v>1749</v>
      </c>
      <c r="EN21" s="378" t="s">
        <v>1749</v>
      </c>
      <c r="EP21" s="493"/>
      <c r="EQ21" s="494"/>
      <c r="ER21" s="345"/>
      <c r="ES21" s="347"/>
      <c r="ET21" s="347"/>
      <c r="EU21" s="347"/>
      <c r="EV21" s="347"/>
      <c r="EW21" s="347"/>
      <c r="EX21" s="347"/>
      <c r="EY21" s="347"/>
      <c r="EZ21" s="347"/>
    </row>
    <row r="22" spans="1:164" ht="16.5" x14ac:dyDescent="0.35">
      <c r="A22" s="1979"/>
      <c r="B22" s="158" t="s">
        <v>582</v>
      </c>
      <c r="C22" s="161" t="s">
        <v>581</v>
      </c>
      <c r="D22" s="159" t="str">
        <f t="shared" si="0"/>
        <v>Liquid Petroleum Gas (LPG)|Cubic metres (m3)</v>
      </c>
      <c r="E22" s="1278">
        <f>E21*'Fuel properties'!G26</f>
        <v>1555.3651925000001</v>
      </c>
      <c r="F22" s="1278">
        <f>F21*'Fuel properties'!G26</f>
        <v>1553.2534850000002</v>
      </c>
      <c r="G22" s="1278">
        <f>G21*'Fuel properties'!G26</f>
        <v>1.132595</v>
      </c>
      <c r="H22" s="1278">
        <f>H21*'Fuel properties'!G26</f>
        <v>0.98440500000000009</v>
      </c>
      <c r="J22" s="1373"/>
      <c r="K22" s="1372"/>
      <c r="L22" s="123" t="s">
        <v>1737</v>
      </c>
      <c r="M22" s="126">
        <v>0.21448</v>
      </c>
      <c r="N22" s="126">
        <v>0.21418999999999999</v>
      </c>
      <c r="O22" s="126">
        <v>1.6000000000000001E-4</v>
      </c>
      <c r="P22" s="126">
        <v>1.3999999999999999E-4</v>
      </c>
      <c r="R22" s="149"/>
      <c r="S22" s="128"/>
      <c r="T22" s="128"/>
      <c r="U22" s="129"/>
      <c r="Y22" s="244" t="s">
        <v>812</v>
      </c>
      <c r="Z22" s="244">
        <v>0.24</v>
      </c>
      <c r="AA22" s="244" t="str">
        <f t="shared" si="4"/>
        <v>Sevoflurane/Ultane|0.24</v>
      </c>
      <c r="AB22" s="245">
        <v>0.36480000000000001</v>
      </c>
      <c r="AK22" s="235" t="s">
        <v>1776</v>
      </c>
      <c r="AL22" s="159" t="s">
        <v>1007</v>
      </c>
      <c r="AM22" s="168"/>
      <c r="AN22" s="313"/>
      <c r="AP22" s="159" t="s">
        <v>761</v>
      </c>
      <c r="AQ22" s="158" t="s">
        <v>751</v>
      </c>
      <c r="AR22" s="164" t="str">
        <f t="shared" si="5"/>
        <v>Long-haul-Unknown class|passenger.km</v>
      </c>
      <c r="AS22" s="299">
        <f>BB12</f>
        <v>0.19085000000000002</v>
      </c>
      <c r="AT22" s="299">
        <f t="shared" ref="AT22:AV22" si="37">BC12</f>
        <v>0.18989</v>
      </c>
      <c r="AU22" s="299">
        <f t="shared" si="37"/>
        <v>1.0000000000000001E-5</v>
      </c>
      <c r="AV22" s="299">
        <f t="shared" si="37"/>
        <v>9.5E-4</v>
      </c>
      <c r="BW22" s="158" t="s">
        <v>723</v>
      </c>
      <c r="BX22" s="158" t="s">
        <v>715</v>
      </c>
      <c r="BY22" s="158" t="str">
        <f t="shared" si="6"/>
        <v>Refrigerated truck, rigid axel &gt;7.5 tonnes-17 tonnes|Diesel</v>
      </c>
      <c r="BZ22" s="377">
        <f>CT22</f>
        <v>0.58928000000000003</v>
      </c>
      <c r="CA22" s="377">
        <f t="shared" ref="CA22:CC22" si="38">CU22</f>
        <v>0.58211999999999997</v>
      </c>
      <c r="CB22" s="377">
        <f t="shared" si="38"/>
        <v>1.2E-4</v>
      </c>
      <c r="CC22" s="377">
        <f t="shared" si="38"/>
        <v>7.0400000000000003E-3</v>
      </c>
      <c r="CE22" s="1963"/>
      <c r="CF22" s="1963" t="s">
        <v>1777</v>
      </c>
      <c r="CG22" s="123" t="s">
        <v>197</v>
      </c>
      <c r="CH22" s="336">
        <v>0.53912000000000004</v>
      </c>
      <c r="CI22" s="336">
        <v>0.53195999999999999</v>
      </c>
      <c r="CJ22" s="336">
        <v>1.2E-4</v>
      </c>
      <c r="CK22" s="336">
        <v>7.0400000000000003E-3</v>
      </c>
      <c r="CL22" s="336">
        <v>0.61512</v>
      </c>
      <c r="CM22" s="336">
        <v>0.60795999999999994</v>
      </c>
      <c r="CN22" s="336">
        <v>1.2E-4</v>
      </c>
      <c r="CO22" s="336">
        <v>7.0400000000000003E-3</v>
      </c>
      <c r="CP22" s="336">
        <v>0.69111</v>
      </c>
      <c r="CQ22" s="336">
        <v>0.68394999999999995</v>
      </c>
      <c r="CR22" s="336">
        <v>1.2E-4</v>
      </c>
      <c r="CS22" s="342">
        <v>7.0400000000000003E-3</v>
      </c>
      <c r="CT22" s="352">
        <v>0.58928000000000003</v>
      </c>
      <c r="CU22" s="352">
        <v>0.58211999999999997</v>
      </c>
      <c r="CV22" s="352">
        <v>1.2E-4</v>
      </c>
      <c r="CW22" s="352">
        <v>7.0400000000000003E-3</v>
      </c>
      <c r="CX22" s="348"/>
      <c r="CY22" s="1969"/>
      <c r="CZ22" s="1970" t="s">
        <v>1763</v>
      </c>
      <c r="DA22" s="123" t="s">
        <v>197</v>
      </c>
      <c r="DB22" s="126">
        <v>0.10086000000000001</v>
      </c>
      <c r="DC22" s="126">
        <v>9.8159999999999997E-2</v>
      </c>
      <c r="DD22" s="126">
        <v>2.0999999999999999E-3</v>
      </c>
      <c r="DE22" s="126">
        <v>5.9999999999999995E-4</v>
      </c>
      <c r="DF22" s="345"/>
      <c r="DG22" s="345"/>
      <c r="DH22" s="345"/>
      <c r="DI22" s="345"/>
      <c r="DK22" s="1967"/>
      <c r="DL22" s="1388" t="s">
        <v>897</v>
      </c>
      <c r="DM22" s="1389">
        <f t="shared" si="8"/>
        <v>1640</v>
      </c>
      <c r="DO22" s="1968"/>
      <c r="DP22" s="123" t="s">
        <v>897</v>
      </c>
      <c r="DQ22" s="123" t="s">
        <v>202</v>
      </c>
      <c r="DR22" s="388">
        <v>1640</v>
      </c>
      <c r="DV22" s="161" t="s">
        <v>713</v>
      </c>
      <c r="DW22" s="1414">
        <f>M82</f>
        <v>2.31467</v>
      </c>
      <c r="DY22" s="128"/>
      <c r="DZ22" s="128"/>
      <c r="EA22" s="128"/>
      <c r="EB22" s="131" t="s">
        <v>1709</v>
      </c>
      <c r="EC22" s="131" t="s">
        <v>1710</v>
      </c>
      <c r="ED22" s="131" t="s">
        <v>1711</v>
      </c>
      <c r="EE22" s="131" t="s">
        <v>1712</v>
      </c>
      <c r="EG22" s="158" t="s">
        <v>723</v>
      </c>
      <c r="EH22" s="158" t="s">
        <v>715</v>
      </c>
      <c r="EI22" s="163" t="s">
        <v>197</v>
      </c>
      <c r="EJ22" s="163" t="str">
        <f t="shared" si="10"/>
        <v>Refrigerated truck, rigid axel &gt;7.5 tonnes-17 tonnes|Diesel|km</v>
      </c>
      <c r="EK22" s="377">
        <f>FE56</f>
        <v>0.70150999999999997</v>
      </c>
      <c r="EL22" s="377">
        <f t="shared" ref="EL22:EN22" si="39">FF56</f>
        <v>0.69435000000000002</v>
      </c>
      <c r="EM22" s="377">
        <f t="shared" si="39"/>
        <v>1.2E-4</v>
      </c>
      <c r="EN22" s="377">
        <f t="shared" si="39"/>
        <v>7.0400000000000003E-3</v>
      </c>
      <c r="EP22" s="493"/>
      <c r="EQ22" s="494"/>
      <c r="ER22" s="345"/>
      <c r="ES22" s="1972" t="s">
        <v>1764</v>
      </c>
      <c r="ET22" s="1972"/>
      <c r="EU22" s="1972"/>
      <c r="EV22" s="1972"/>
      <c r="EW22" s="1972" t="s">
        <v>1765</v>
      </c>
      <c r="EX22" s="1972"/>
      <c r="EY22" s="1972"/>
      <c r="EZ22" s="1972"/>
      <c r="FA22" s="1973" t="s">
        <v>1766</v>
      </c>
      <c r="FB22" s="1996"/>
      <c r="FC22" s="1996"/>
      <c r="FD22" s="1997"/>
      <c r="FE22" s="1972" t="s">
        <v>1767</v>
      </c>
      <c r="FF22" s="1972"/>
      <c r="FG22" s="1972"/>
      <c r="FH22" s="1972"/>
    </row>
    <row r="23" spans="1:164" ht="16.5" x14ac:dyDescent="0.45">
      <c r="A23" s="1979"/>
      <c r="B23" s="158" t="s">
        <v>588</v>
      </c>
      <c r="C23" s="159" t="s">
        <v>563</v>
      </c>
      <c r="D23" s="159" t="str">
        <f t="shared" si="0"/>
        <v>Liquid Natural Gas (LNG)|Kilowatt hours (KWh)</v>
      </c>
      <c r="E23" s="1276">
        <f>M18</f>
        <v>0.18454999999999999</v>
      </c>
      <c r="F23" s="1276">
        <f>N18</f>
        <v>0.18421000000000001</v>
      </c>
      <c r="G23" s="1276">
        <f>O18</f>
        <v>2.5000000000000001E-4</v>
      </c>
      <c r="H23" s="1276">
        <f>P18</f>
        <v>1E-4</v>
      </c>
      <c r="J23" s="1373"/>
      <c r="K23" s="1370" t="s">
        <v>564</v>
      </c>
      <c r="L23" s="123" t="s">
        <v>316</v>
      </c>
      <c r="M23" s="125">
        <v>2533</v>
      </c>
      <c r="N23" s="125">
        <v>2528.2600000000002</v>
      </c>
      <c r="O23" s="125">
        <v>3.4</v>
      </c>
      <c r="P23" s="125">
        <v>1.33</v>
      </c>
      <c r="R23" s="147" t="s">
        <v>1688</v>
      </c>
      <c r="S23" s="122" t="s">
        <v>1682</v>
      </c>
      <c r="T23" s="122" t="s">
        <v>1689</v>
      </c>
      <c r="U23" s="124" t="s">
        <v>1690</v>
      </c>
      <c r="Y23" s="244" t="s">
        <v>812</v>
      </c>
      <c r="Z23" s="244">
        <v>0.2</v>
      </c>
      <c r="AA23" s="244" t="str">
        <f t="shared" si="4"/>
        <v>Sevoflurane/Ultane|0.2</v>
      </c>
      <c r="AB23" s="244" t="s">
        <v>1778</v>
      </c>
      <c r="AK23" s="235"/>
      <c r="AL23" s="159" t="s">
        <v>1750</v>
      </c>
      <c r="AM23" s="168"/>
      <c r="AN23" s="313"/>
      <c r="AP23" s="159" t="s">
        <v>761</v>
      </c>
      <c r="AQ23" s="158" t="s">
        <v>197</v>
      </c>
      <c r="AR23" s="164" t="str">
        <f t="shared" si="5"/>
        <v>Long-haul-Unknown class|km</v>
      </c>
      <c r="AS23" s="299" t="s">
        <v>1724</v>
      </c>
      <c r="AT23" s="299" t="s">
        <v>1724</v>
      </c>
      <c r="AU23" s="299" t="s">
        <v>1724</v>
      </c>
      <c r="AV23" s="299" t="s">
        <v>1724</v>
      </c>
      <c r="BO23" s="122" t="s">
        <v>1688</v>
      </c>
      <c r="BP23" s="122" t="s">
        <v>1702</v>
      </c>
      <c r="BQ23" s="122" t="s">
        <v>1689</v>
      </c>
      <c r="BR23" s="123" t="s">
        <v>1690</v>
      </c>
      <c r="BS23" s="123" t="s">
        <v>1691</v>
      </c>
      <c r="BT23" s="123" t="s">
        <v>1692</v>
      </c>
      <c r="BU23" s="123" t="s">
        <v>1693</v>
      </c>
      <c r="BW23" s="158" t="s">
        <v>724</v>
      </c>
      <c r="BX23" s="158" t="s">
        <v>713</v>
      </c>
      <c r="BY23" s="158" t="str">
        <f t="shared" si="6"/>
        <v>Refrigerated truck, rigid axel &gt;17 tonnes|Petrol</v>
      </c>
      <c r="BZ23" s="377" t="s">
        <v>1748</v>
      </c>
      <c r="CA23" s="377" t="s">
        <v>1748</v>
      </c>
      <c r="CB23" s="377" t="s">
        <v>1748</v>
      </c>
      <c r="CC23" s="377" t="s">
        <v>1748</v>
      </c>
      <c r="CE23" s="1963"/>
      <c r="CF23" s="1963"/>
      <c r="CG23" s="123" t="s">
        <v>753</v>
      </c>
      <c r="CH23" s="336">
        <v>0.86763000000000001</v>
      </c>
      <c r="CI23" s="336">
        <v>0.85611000000000004</v>
      </c>
      <c r="CJ23" s="336">
        <v>1.9000000000000001E-4</v>
      </c>
      <c r="CK23" s="336">
        <v>1.133E-2</v>
      </c>
      <c r="CL23" s="336">
        <v>0.98992999999999998</v>
      </c>
      <c r="CM23" s="336">
        <v>0.97841</v>
      </c>
      <c r="CN23" s="336">
        <v>1.9000000000000001E-4</v>
      </c>
      <c r="CO23" s="336">
        <v>1.133E-2</v>
      </c>
      <c r="CP23" s="336">
        <v>1.1122300000000001</v>
      </c>
      <c r="CQ23" s="336">
        <v>1.1007199999999999</v>
      </c>
      <c r="CR23" s="336">
        <v>1.9000000000000001E-4</v>
      </c>
      <c r="CS23" s="342">
        <v>1.133E-2</v>
      </c>
      <c r="CT23" s="352">
        <v>0.94835000000000003</v>
      </c>
      <c r="CU23" s="352">
        <v>0.93683000000000005</v>
      </c>
      <c r="CV23" s="352">
        <v>1.9000000000000001E-4</v>
      </c>
      <c r="CW23" s="352">
        <v>1.133E-2</v>
      </c>
      <c r="CX23" s="348"/>
      <c r="CY23" s="1969"/>
      <c r="CZ23" s="1970"/>
      <c r="DA23" s="123" t="s">
        <v>753</v>
      </c>
      <c r="DB23" s="126">
        <v>0.1623</v>
      </c>
      <c r="DC23" s="126">
        <v>0.15797</v>
      </c>
      <c r="DD23" s="126">
        <v>3.3700000000000002E-3</v>
      </c>
      <c r="DE23" s="126">
        <v>9.6000000000000002E-4</v>
      </c>
      <c r="DF23" s="345"/>
      <c r="DG23" s="345"/>
      <c r="DH23" s="345"/>
      <c r="DI23" s="345"/>
      <c r="DK23" s="1967"/>
      <c r="DL23" s="1388" t="s">
        <v>898</v>
      </c>
      <c r="DM23" s="1389">
        <f t="shared" si="8"/>
        <v>7390</v>
      </c>
      <c r="DO23" s="1968"/>
      <c r="DP23" s="123" t="s">
        <v>898</v>
      </c>
      <c r="DQ23" s="123" t="s">
        <v>202</v>
      </c>
      <c r="DR23" s="388">
        <v>7390</v>
      </c>
      <c r="DV23" s="161" t="s">
        <v>715</v>
      </c>
      <c r="DW23" s="1414">
        <f>M58</f>
        <v>2.6878700000000002</v>
      </c>
      <c r="DY23" s="122" t="s">
        <v>1688</v>
      </c>
      <c r="DZ23" s="122" t="s">
        <v>1117</v>
      </c>
      <c r="EA23" s="122" t="s">
        <v>1689</v>
      </c>
      <c r="EB23" s="1382" t="s">
        <v>1690</v>
      </c>
      <c r="EC23" s="1382" t="s">
        <v>1690</v>
      </c>
      <c r="ED23" s="1382" t="s">
        <v>1690</v>
      </c>
      <c r="EE23" s="1382" t="s">
        <v>1690</v>
      </c>
      <c r="EG23" s="158" t="s">
        <v>724</v>
      </c>
      <c r="EH23" s="163" t="s">
        <v>713</v>
      </c>
      <c r="EI23" s="163" t="s">
        <v>197</v>
      </c>
      <c r="EJ23" s="163" t="str">
        <f t="shared" si="10"/>
        <v>Refrigerated truck, rigid axel &gt;17 tonnes|Petrol|km</v>
      </c>
      <c r="EK23" s="378" t="s">
        <v>1749</v>
      </c>
      <c r="EL23" s="378" t="s">
        <v>1749</v>
      </c>
      <c r="EM23" s="378" t="s">
        <v>1749</v>
      </c>
      <c r="EN23" s="378" t="s">
        <v>1749</v>
      </c>
      <c r="EP23" s="147" t="s">
        <v>1688</v>
      </c>
      <c r="EQ23" s="331" t="s">
        <v>1702</v>
      </c>
      <c r="ER23" s="122" t="s">
        <v>1689</v>
      </c>
      <c r="ES23" s="123" t="s">
        <v>1690</v>
      </c>
      <c r="ET23" s="123" t="s">
        <v>1691</v>
      </c>
      <c r="EU23" s="123" t="s">
        <v>1692</v>
      </c>
      <c r="EV23" s="123" t="s">
        <v>1693</v>
      </c>
      <c r="EW23" s="123" t="s">
        <v>1690</v>
      </c>
      <c r="EX23" s="123" t="s">
        <v>1691</v>
      </c>
      <c r="EY23" s="123" t="s">
        <v>1692</v>
      </c>
      <c r="EZ23" s="123" t="s">
        <v>1693</v>
      </c>
      <c r="FA23" s="123" t="s">
        <v>1690</v>
      </c>
      <c r="FB23" s="123" t="s">
        <v>1691</v>
      </c>
      <c r="FC23" s="123" t="s">
        <v>1692</v>
      </c>
      <c r="FD23" s="123" t="s">
        <v>1693</v>
      </c>
      <c r="FE23" s="123" t="s">
        <v>1690</v>
      </c>
      <c r="FF23" s="123" t="s">
        <v>1691</v>
      </c>
      <c r="FG23" s="123" t="s">
        <v>1692</v>
      </c>
      <c r="FH23" s="123" t="s">
        <v>1693</v>
      </c>
    </row>
    <row r="24" spans="1:164" x14ac:dyDescent="0.35">
      <c r="A24" s="1979"/>
      <c r="B24" s="158" t="s">
        <v>588</v>
      </c>
      <c r="C24" s="159" t="s">
        <v>575</v>
      </c>
      <c r="D24" s="159" t="str">
        <f t="shared" si="0"/>
        <v>Liquid Natural Gas (LNG)|Litres (l)</v>
      </c>
      <c r="E24" s="1276">
        <f>M16</f>
        <v>1.1504099999999999</v>
      </c>
      <c r="F24" s="1276">
        <f>N16</f>
        <v>1.1482699999999999</v>
      </c>
      <c r="G24" s="1276">
        <f>O16</f>
        <v>1.5399999999999999E-3</v>
      </c>
      <c r="H24" s="1276">
        <f>P16</f>
        <v>5.9999999999999995E-4</v>
      </c>
      <c r="J24" s="1373"/>
      <c r="K24" s="1371"/>
      <c r="L24" s="123" t="s">
        <v>1779</v>
      </c>
      <c r="M24" s="126">
        <v>2.0226600000000001</v>
      </c>
      <c r="N24" s="126">
        <v>2.0188799999999998</v>
      </c>
      <c r="O24" s="126">
        <v>2.7100000000000002E-3</v>
      </c>
      <c r="P24" s="126">
        <v>1.07E-3</v>
      </c>
      <c r="R24" s="150" t="s">
        <v>1780</v>
      </c>
      <c r="S24" s="151" t="s">
        <v>577</v>
      </c>
      <c r="T24" s="123" t="s">
        <v>316</v>
      </c>
      <c r="U24" s="127">
        <v>63.115340000000003</v>
      </c>
      <c r="Y24" s="244" t="s">
        <v>812</v>
      </c>
      <c r="Z24" s="244">
        <v>0.125</v>
      </c>
      <c r="AA24" s="244" t="str">
        <f t="shared" si="4"/>
        <v>Sevoflurane/Ultane|0.125</v>
      </c>
      <c r="AB24" s="244" t="s">
        <v>1778</v>
      </c>
      <c r="AK24" s="235"/>
      <c r="AL24" s="161" t="s">
        <v>1756</v>
      </c>
      <c r="AM24" s="168"/>
      <c r="AN24" s="313"/>
      <c r="AP24" s="159" t="s">
        <v>761</v>
      </c>
      <c r="AQ24" s="158" t="s">
        <v>753</v>
      </c>
      <c r="AR24" s="164" t="str">
        <f t="shared" si="5"/>
        <v>Long-haul-Unknown class|miles</v>
      </c>
      <c r="AS24" s="299" t="s">
        <v>1724</v>
      </c>
      <c r="AT24" s="299" t="s">
        <v>1724</v>
      </c>
      <c r="AU24" s="299" t="s">
        <v>1724</v>
      </c>
      <c r="AV24" s="299" t="s">
        <v>1724</v>
      </c>
      <c r="BO24" s="1963" t="s">
        <v>1781</v>
      </c>
      <c r="BP24" s="1963" t="s">
        <v>1782</v>
      </c>
      <c r="BQ24" s="123" t="s">
        <v>751</v>
      </c>
      <c r="BR24" s="298">
        <v>0.14549000000000001</v>
      </c>
      <c r="BS24" s="298">
        <v>0.14418</v>
      </c>
      <c r="BT24" s="298">
        <v>2.4899999999999999E-6</v>
      </c>
      <c r="BU24" s="298">
        <v>1.31E-3</v>
      </c>
      <c r="BW24" s="158" t="s">
        <v>724</v>
      </c>
      <c r="BX24" s="158" t="s">
        <v>715</v>
      </c>
      <c r="BY24" s="158" t="str">
        <f t="shared" si="6"/>
        <v>Refrigerated truck, rigid axel &gt;17 tonnes|Diesel</v>
      </c>
      <c r="BZ24" s="377">
        <f>CT24</f>
        <v>0.96431999999999995</v>
      </c>
      <c r="CA24" s="377">
        <f t="shared" ref="CA24:CC24" si="40">CU24</f>
        <v>0.95259000000000005</v>
      </c>
      <c r="CB24" s="377">
        <f t="shared" si="40"/>
        <v>1.9000000000000001E-4</v>
      </c>
      <c r="CC24" s="377">
        <f t="shared" si="40"/>
        <v>1.153E-2</v>
      </c>
      <c r="CE24" s="1963"/>
      <c r="CF24" s="1963" t="s">
        <v>1783</v>
      </c>
      <c r="CG24" s="123" t="s">
        <v>197</v>
      </c>
      <c r="CH24" s="336">
        <v>0.77439000000000002</v>
      </c>
      <c r="CI24" s="336">
        <v>0.76266</v>
      </c>
      <c r="CJ24" s="336">
        <v>1.9000000000000001E-4</v>
      </c>
      <c r="CK24" s="336">
        <v>1.153E-2</v>
      </c>
      <c r="CL24" s="336">
        <v>0.94179999999999997</v>
      </c>
      <c r="CM24" s="336">
        <v>0.93006999999999995</v>
      </c>
      <c r="CN24" s="336">
        <v>1.9000000000000001E-4</v>
      </c>
      <c r="CO24" s="336">
        <v>1.153E-2</v>
      </c>
      <c r="CP24" s="336">
        <v>1.10921</v>
      </c>
      <c r="CQ24" s="336">
        <v>1.0974900000000001</v>
      </c>
      <c r="CR24" s="336">
        <v>1.9000000000000001E-4</v>
      </c>
      <c r="CS24" s="342">
        <v>1.153E-2</v>
      </c>
      <c r="CT24" s="352">
        <v>0.96431999999999995</v>
      </c>
      <c r="CU24" s="352">
        <v>0.95259000000000005</v>
      </c>
      <c r="CV24" s="352">
        <v>1.9000000000000001E-4</v>
      </c>
      <c r="CW24" s="352">
        <v>1.153E-2</v>
      </c>
      <c r="CX24" s="348"/>
      <c r="CY24" s="1969"/>
      <c r="CZ24" s="1970" t="s">
        <v>1771</v>
      </c>
      <c r="DA24" s="123" t="s">
        <v>197</v>
      </c>
      <c r="DB24" s="126">
        <v>0.13236999999999999</v>
      </c>
      <c r="DC24" s="126">
        <v>0.13058</v>
      </c>
      <c r="DD24" s="126">
        <v>1.1900000000000001E-3</v>
      </c>
      <c r="DE24" s="126">
        <v>5.9999999999999995E-4</v>
      </c>
      <c r="DF24" s="345"/>
      <c r="DG24" s="345"/>
      <c r="DH24" s="345"/>
      <c r="DI24" s="345"/>
      <c r="DK24" s="1967"/>
      <c r="DL24" s="1388" t="s">
        <v>899</v>
      </c>
      <c r="DM24" s="1389">
        <f t="shared" si="8"/>
        <v>12200</v>
      </c>
      <c r="DO24" s="1968"/>
      <c r="DP24" s="123" t="s">
        <v>899</v>
      </c>
      <c r="DQ24" s="123" t="s">
        <v>202</v>
      </c>
      <c r="DR24" s="388">
        <v>12200</v>
      </c>
      <c r="DY24" s="1963" t="s">
        <v>208</v>
      </c>
      <c r="DZ24" s="123" t="s">
        <v>1784</v>
      </c>
      <c r="EA24" s="123" t="s">
        <v>316</v>
      </c>
      <c r="EB24" s="1383" t="s">
        <v>1736</v>
      </c>
      <c r="EC24" s="1383" t="s">
        <v>1736</v>
      </c>
      <c r="ED24" s="1383" t="s">
        <v>1736</v>
      </c>
      <c r="EE24" s="1383" t="s">
        <v>1736</v>
      </c>
      <c r="EG24" s="158" t="s">
        <v>724</v>
      </c>
      <c r="EH24" s="158" t="s">
        <v>715</v>
      </c>
      <c r="EI24" s="163" t="s">
        <v>197</v>
      </c>
      <c r="EJ24" s="163" t="str">
        <f t="shared" si="10"/>
        <v>Refrigerated truck, rigid axel &gt;17 tonnes|Diesel|km</v>
      </c>
      <c r="EK24" s="377">
        <f>FE59</f>
        <v>1.14798</v>
      </c>
      <c r="EL24" s="377">
        <f t="shared" ref="EL24:EN24" si="41">FF59</f>
        <v>1.13625</v>
      </c>
      <c r="EM24" s="377">
        <f t="shared" si="41"/>
        <v>1.9000000000000001E-4</v>
      </c>
      <c r="EN24" s="377">
        <f t="shared" si="41"/>
        <v>1.153E-2</v>
      </c>
      <c r="EP24" s="1994" t="s">
        <v>1772</v>
      </c>
      <c r="EQ24" s="1968" t="s">
        <v>1773</v>
      </c>
      <c r="ER24" s="123" t="s">
        <v>1093</v>
      </c>
      <c r="ES24" s="486"/>
      <c r="ET24" s="486"/>
      <c r="EU24" s="486"/>
      <c r="EV24" s="486"/>
      <c r="EW24" s="487">
        <v>0.46235999999999999</v>
      </c>
      <c r="EX24" s="487">
        <v>0.45678999999999997</v>
      </c>
      <c r="EY24" s="487">
        <v>9.0000000000000006E-5</v>
      </c>
      <c r="EZ24" s="487">
        <v>5.4799999999999996E-3</v>
      </c>
      <c r="FA24" s="487">
        <v>0.29701</v>
      </c>
      <c r="FB24" s="487">
        <v>0.29422999999999999</v>
      </c>
      <c r="FC24" s="487">
        <v>5.0000000000000002E-5</v>
      </c>
      <c r="FD24" s="487">
        <v>2.7399999999999998E-3</v>
      </c>
      <c r="FE24" s="487">
        <v>0.61955000000000005</v>
      </c>
      <c r="FF24" s="487">
        <v>0.61321999999999999</v>
      </c>
      <c r="FG24" s="487">
        <v>1E-4</v>
      </c>
      <c r="FH24" s="487">
        <v>6.2300000000000003E-3</v>
      </c>
    </row>
    <row r="25" spans="1:164" x14ac:dyDescent="0.35">
      <c r="A25" s="1979"/>
      <c r="B25" s="158" t="s">
        <v>588</v>
      </c>
      <c r="C25" s="159" t="s">
        <v>569</v>
      </c>
      <c r="D25" s="159" t="str">
        <f t="shared" si="0"/>
        <v>Liquid Natural Gas (LNG)|Kilograms (kg)</v>
      </c>
      <c r="E25" s="169">
        <f>M15/1000</f>
        <v>2.5424099999999998</v>
      </c>
      <c r="F25" s="169">
        <f>N15/1000</f>
        <v>2.5376799999999999</v>
      </c>
      <c r="G25" s="169">
        <f>O15/1000</f>
        <v>3.3999999999999998E-3</v>
      </c>
      <c r="H25" s="169">
        <f>P15/1000</f>
        <v>1.33E-3</v>
      </c>
      <c r="J25" s="1373"/>
      <c r="K25" s="1371"/>
      <c r="L25" s="123" t="s">
        <v>1733</v>
      </c>
      <c r="M25" s="126">
        <v>0.20374</v>
      </c>
      <c r="N25" s="126">
        <v>0.20336000000000001</v>
      </c>
      <c r="O25" s="126">
        <v>2.7E-4</v>
      </c>
      <c r="P25" s="126">
        <v>1.1E-4</v>
      </c>
      <c r="R25" s="150"/>
      <c r="S25" s="151"/>
      <c r="T25" s="123" t="s">
        <v>1785</v>
      </c>
      <c r="U25" s="127">
        <v>1.545E-2</v>
      </c>
      <c r="Y25" s="244" t="s">
        <v>812</v>
      </c>
      <c r="Z25" s="244">
        <v>0.1</v>
      </c>
      <c r="AA25" s="244" t="str">
        <f t="shared" si="4"/>
        <v>Sevoflurane/Ultane|0.1</v>
      </c>
      <c r="AB25" s="244" t="s">
        <v>1778</v>
      </c>
      <c r="AK25" s="235" t="s">
        <v>1786</v>
      </c>
      <c r="AL25" s="159" t="s">
        <v>1007</v>
      </c>
      <c r="AM25" s="168"/>
      <c r="AN25" s="313"/>
      <c r="AP25" s="159" t="s">
        <v>762</v>
      </c>
      <c r="AQ25" s="158" t="s">
        <v>751</v>
      </c>
      <c r="AR25" s="164" t="str">
        <f t="shared" si="5"/>
        <v>Long-haul-Economy class|passenger.km</v>
      </c>
      <c r="AS25" s="299">
        <f>BB13</f>
        <v>0.14615</v>
      </c>
      <c r="AT25" s="299">
        <f t="shared" ref="AT25:AV25" si="42">BC13</f>
        <v>0.14541999999999999</v>
      </c>
      <c r="AU25" s="299">
        <f t="shared" si="42"/>
        <v>1.0000000000000001E-5</v>
      </c>
      <c r="AV25" s="299">
        <f t="shared" si="42"/>
        <v>7.2000000000000005E-4</v>
      </c>
      <c r="BO25" s="1963"/>
      <c r="BP25" s="1963"/>
      <c r="BQ25" s="123" t="s">
        <v>197</v>
      </c>
      <c r="BR25" s="298">
        <v>0.20369000000000001</v>
      </c>
      <c r="BS25" s="298">
        <v>0.20185</v>
      </c>
      <c r="BT25" s="298">
        <v>3.49E-6</v>
      </c>
      <c r="BU25" s="298">
        <v>1.8400000000000001E-3</v>
      </c>
      <c r="BW25" s="495" t="s">
        <v>725</v>
      </c>
      <c r="BX25" s="158" t="s">
        <v>713</v>
      </c>
      <c r="BY25" s="158" t="str">
        <f t="shared" si="6"/>
        <v>Articulated truck &gt;3.5 - 33t|Petrol</v>
      </c>
      <c r="BZ25" s="377" t="s">
        <v>1748</v>
      </c>
      <c r="CA25" s="377" t="s">
        <v>1748</v>
      </c>
      <c r="CB25" s="377" t="s">
        <v>1748</v>
      </c>
      <c r="CC25" s="377" t="s">
        <v>1748</v>
      </c>
      <c r="CE25" s="1963"/>
      <c r="CF25" s="1963"/>
      <c r="CG25" s="123" t="s">
        <v>753</v>
      </c>
      <c r="CH25" s="336">
        <v>1.2462599999999999</v>
      </c>
      <c r="CI25" s="336">
        <v>1.2273799999999999</v>
      </c>
      <c r="CJ25" s="336">
        <v>3.1E-4</v>
      </c>
      <c r="CK25" s="336">
        <v>1.856E-2</v>
      </c>
      <c r="CL25" s="336">
        <v>1.5156799999999999</v>
      </c>
      <c r="CM25" s="336">
        <v>1.49681</v>
      </c>
      <c r="CN25" s="336">
        <v>3.1E-4</v>
      </c>
      <c r="CO25" s="336">
        <v>1.856E-2</v>
      </c>
      <c r="CP25" s="336">
        <v>1.78511</v>
      </c>
      <c r="CQ25" s="336">
        <v>1.76623</v>
      </c>
      <c r="CR25" s="336">
        <v>3.1E-4</v>
      </c>
      <c r="CS25" s="342">
        <v>1.856E-2</v>
      </c>
      <c r="CT25" s="352">
        <v>1.55192</v>
      </c>
      <c r="CU25" s="352">
        <v>1.53304</v>
      </c>
      <c r="CV25" s="352">
        <v>3.1E-4</v>
      </c>
      <c r="CW25" s="352">
        <v>1.856E-2</v>
      </c>
      <c r="CX25" s="348"/>
      <c r="CY25" s="1969"/>
      <c r="CZ25" s="1970"/>
      <c r="DA25" s="123" t="s">
        <v>753</v>
      </c>
      <c r="DB25" s="126">
        <v>0.21301999999999999</v>
      </c>
      <c r="DC25" s="126">
        <v>0.21015</v>
      </c>
      <c r="DD25" s="126">
        <v>1.91E-3</v>
      </c>
      <c r="DE25" s="126">
        <v>9.6000000000000002E-4</v>
      </c>
      <c r="DF25" s="345"/>
      <c r="DG25" s="345"/>
      <c r="DH25" s="345"/>
      <c r="DI25" s="345"/>
      <c r="DK25" s="1967"/>
      <c r="DL25" s="1388" t="s">
        <v>900</v>
      </c>
      <c r="DM25" s="1389">
        <f t="shared" si="8"/>
        <v>8830</v>
      </c>
      <c r="DO25" s="1968"/>
      <c r="DP25" s="123" t="s">
        <v>900</v>
      </c>
      <c r="DQ25" s="123" t="s">
        <v>202</v>
      </c>
      <c r="DR25" s="388">
        <v>8830</v>
      </c>
      <c r="DY25" s="1963"/>
      <c r="DZ25" s="123" t="s">
        <v>1774</v>
      </c>
      <c r="EA25" s="123" t="s">
        <v>316</v>
      </c>
      <c r="EB25" s="1384">
        <v>1402.7666666666664</v>
      </c>
      <c r="EC25" s="1383" t="s">
        <v>1736</v>
      </c>
      <c r="ED25" s="1384">
        <v>24.76</v>
      </c>
      <c r="EE25" s="1384">
        <v>823.18953918534748</v>
      </c>
      <c r="EG25" s="495" t="s">
        <v>725</v>
      </c>
      <c r="EH25" s="163" t="s">
        <v>713</v>
      </c>
      <c r="EI25" s="163" t="s">
        <v>197</v>
      </c>
      <c r="EJ25" s="163" t="str">
        <f t="shared" si="10"/>
        <v>Articulated truck &gt;3.5 - 33t|Petrol|km</v>
      </c>
      <c r="EK25" s="378" t="s">
        <v>1749</v>
      </c>
      <c r="EL25" s="378" t="s">
        <v>1749</v>
      </c>
      <c r="EM25" s="378" t="s">
        <v>1749</v>
      </c>
      <c r="EN25" s="378" t="s">
        <v>1749</v>
      </c>
      <c r="EP25" s="1994"/>
      <c r="EQ25" s="1968"/>
      <c r="ER25" s="123" t="s">
        <v>197</v>
      </c>
      <c r="ES25" s="487">
        <v>0.44862999999999997</v>
      </c>
      <c r="ET25" s="487">
        <v>0.44275999999999999</v>
      </c>
      <c r="EU25" s="487">
        <v>1E-4</v>
      </c>
      <c r="EV25" s="487">
        <v>5.77E-3</v>
      </c>
      <c r="EW25" s="487">
        <v>0.48713000000000001</v>
      </c>
      <c r="EX25" s="487">
        <v>0.48126000000000002</v>
      </c>
      <c r="EY25" s="487">
        <v>1E-4</v>
      </c>
      <c r="EZ25" s="487">
        <v>5.77E-3</v>
      </c>
      <c r="FA25" s="487">
        <v>0.62583999999999995</v>
      </c>
      <c r="FB25" s="487">
        <v>0.61997000000000002</v>
      </c>
      <c r="FC25" s="487">
        <v>1E-4</v>
      </c>
      <c r="FD25" s="487">
        <v>5.77E-3</v>
      </c>
      <c r="FE25" s="487">
        <v>0.57440999999999998</v>
      </c>
      <c r="FF25" s="487">
        <v>0.56854000000000005</v>
      </c>
      <c r="FG25" s="487">
        <v>1E-4</v>
      </c>
      <c r="FH25" s="487">
        <v>5.77E-3</v>
      </c>
    </row>
    <row r="26" spans="1:164" ht="16.5" x14ac:dyDescent="0.35">
      <c r="A26" s="1979"/>
      <c r="B26" s="158" t="s">
        <v>588</v>
      </c>
      <c r="C26" s="161" t="s">
        <v>581</v>
      </c>
      <c r="D26" s="159" t="str">
        <f t="shared" si="0"/>
        <v>Liquid Natural Gas (LNG)|Cubic metres (m3)</v>
      </c>
      <c r="E26" s="1278">
        <f>E25*'Fuel properties'!G47</f>
        <v>1150.4125584899998</v>
      </c>
      <c r="F26" s="1278">
        <f>F25*'Fuel properties'!G47</f>
        <v>1148.27228552</v>
      </c>
      <c r="G26" s="1278">
        <f>G25*'Fuel properties'!G47</f>
        <v>1.5384625999999999</v>
      </c>
      <c r="H26" s="1278">
        <f>H25*'Fuel properties'!G47</f>
        <v>0.60181036999999993</v>
      </c>
      <c r="J26" s="1373"/>
      <c r="K26" s="1372"/>
      <c r="L26" s="123" t="s">
        <v>1737</v>
      </c>
      <c r="M26" s="126">
        <v>0.18387000000000001</v>
      </c>
      <c r="N26" s="126">
        <v>0.18351999999999999</v>
      </c>
      <c r="O26" s="126">
        <v>2.5000000000000001E-4</v>
      </c>
      <c r="P26" s="126">
        <v>1E-4</v>
      </c>
      <c r="R26" s="150"/>
      <c r="S26" s="151" t="s">
        <v>571</v>
      </c>
      <c r="T26" s="123" t="s">
        <v>316</v>
      </c>
      <c r="U26" s="127">
        <v>58.352719999999998</v>
      </c>
      <c r="Y26" s="244" t="s">
        <v>812</v>
      </c>
      <c r="Z26" s="244">
        <v>0.05</v>
      </c>
      <c r="AA26" s="244" t="str">
        <f t="shared" si="4"/>
        <v>Sevoflurane/Ultane|0.05</v>
      </c>
      <c r="AB26" s="244" t="s">
        <v>1778</v>
      </c>
      <c r="AK26" s="235"/>
      <c r="AL26" s="159" t="s">
        <v>1750</v>
      </c>
      <c r="AM26" s="168"/>
      <c r="AN26" s="313"/>
      <c r="AP26" s="159" t="s">
        <v>762</v>
      </c>
      <c r="AQ26" s="158" t="s">
        <v>197</v>
      </c>
      <c r="AR26" s="164" t="str">
        <f t="shared" si="5"/>
        <v>Long-haul-Economy class|km</v>
      </c>
      <c r="AS26" s="299" t="s">
        <v>1724</v>
      </c>
      <c r="AT26" s="299" t="s">
        <v>1724</v>
      </c>
      <c r="AU26" s="299" t="s">
        <v>1724</v>
      </c>
      <c r="AV26" s="299" t="s">
        <v>1724</v>
      </c>
      <c r="BO26" s="1963"/>
      <c r="BP26" s="1963" t="s">
        <v>1787</v>
      </c>
      <c r="BQ26" s="123" t="s">
        <v>751</v>
      </c>
      <c r="BR26" s="298">
        <v>0.20793</v>
      </c>
      <c r="BS26" s="298">
        <v>0.20671</v>
      </c>
      <c r="BT26" s="298">
        <v>2.3199999999999998E-6</v>
      </c>
      <c r="BU26" s="298">
        <v>1.2199999999999999E-3</v>
      </c>
      <c r="BW26" s="495" t="s">
        <v>725</v>
      </c>
      <c r="BX26" s="158" t="s">
        <v>715</v>
      </c>
      <c r="BY26" s="158" t="str">
        <f t="shared" si="6"/>
        <v>Articulated truck &gt;3.5 - 33t|Diesel</v>
      </c>
      <c r="BZ26" s="377">
        <f>CT28</f>
        <v>0.77573999999999999</v>
      </c>
      <c r="CA26" s="377">
        <f t="shared" ref="CA26:CC26" si="43">CU28</f>
        <v>0.76222999999999996</v>
      </c>
      <c r="CB26" s="377">
        <f t="shared" si="43"/>
        <v>1E-4</v>
      </c>
      <c r="CC26" s="377">
        <f t="shared" si="43"/>
        <v>1.341E-2</v>
      </c>
      <c r="CE26" s="1963"/>
      <c r="CF26" s="1963" t="s">
        <v>1788</v>
      </c>
      <c r="CG26" s="123" t="s">
        <v>197</v>
      </c>
      <c r="CH26" s="336">
        <v>0.66603999999999997</v>
      </c>
      <c r="CI26" s="336">
        <v>0.65629999999999999</v>
      </c>
      <c r="CJ26" s="336">
        <v>1.6000000000000001E-4</v>
      </c>
      <c r="CK26" s="336">
        <v>9.58E-3</v>
      </c>
      <c r="CL26" s="336">
        <v>0.79076999999999997</v>
      </c>
      <c r="CM26" s="336">
        <v>0.78103</v>
      </c>
      <c r="CN26" s="336">
        <v>1.6000000000000001E-4</v>
      </c>
      <c r="CO26" s="336">
        <v>9.58E-3</v>
      </c>
      <c r="CP26" s="336">
        <v>0.91549000000000003</v>
      </c>
      <c r="CQ26" s="336">
        <v>0.90575000000000006</v>
      </c>
      <c r="CR26" s="336">
        <v>1.6000000000000001E-4</v>
      </c>
      <c r="CS26" s="342">
        <v>9.58E-3</v>
      </c>
      <c r="CT26" s="352">
        <v>0.80112000000000005</v>
      </c>
      <c r="CU26" s="352">
        <v>0.79137999999999997</v>
      </c>
      <c r="CV26" s="352">
        <v>1.6000000000000001E-4</v>
      </c>
      <c r="CW26" s="352">
        <v>9.58E-3</v>
      </c>
      <c r="CX26" s="348"/>
      <c r="CY26" s="1969"/>
      <c r="CZ26" s="1970" t="s">
        <v>1789</v>
      </c>
      <c r="DA26" s="123" t="s">
        <v>197</v>
      </c>
      <c r="DB26" s="126">
        <v>0.11337</v>
      </c>
      <c r="DC26" s="126">
        <v>0.11115</v>
      </c>
      <c r="DD26" s="126">
        <v>1.6299999999999999E-3</v>
      </c>
      <c r="DE26" s="126">
        <v>5.9000000000000003E-4</v>
      </c>
      <c r="DF26" s="345"/>
      <c r="DG26" s="345"/>
      <c r="DH26" s="345"/>
      <c r="DI26" s="345"/>
      <c r="DK26" s="1967"/>
      <c r="DL26" s="1388" t="s">
        <v>901</v>
      </c>
      <c r="DM26" s="1389">
        <f t="shared" si="8"/>
        <v>10300</v>
      </c>
      <c r="DO26" s="1968"/>
      <c r="DP26" s="123" t="s">
        <v>901</v>
      </c>
      <c r="DQ26" s="123" t="s">
        <v>202</v>
      </c>
      <c r="DR26" s="388">
        <v>10300</v>
      </c>
      <c r="DY26" s="1963"/>
      <c r="DZ26" s="123" t="s">
        <v>1790</v>
      </c>
      <c r="EA26" s="123" t="s">
        <v>316</v>
      </c>
      <c r="EB26" s="1384">
        <v>22310</v>
      </c>
      <c r="EC26" s="1384">
        <v>152.24999999999997</v>
      </c>
      <c r="ED26" s="1384">
        <v>152.24999999999997</v>
      </c>
      <c r="EE26" s="1383" t="s">
        <v>1736</v>
      </c>
      <c r="EG26" s="495" t="s">
        <v>725</v>
      </c>
      <c r="EH26" s="158" t="s">
        <v>715</v>
      </c>
      <c r="EI26" s="163" t="s">
        <v>197</v>
      </c>
      <c r="EJ26" s="163" t="str">
        <f t="shared" si="10"/>
        <v>Articulated truck &gt;3.5 - 33t|Diesel|km</v>
      </c>
      <c r="EK26" s="377">
        <f>FE37</f>
        <v>0.89798999999999995</v>
      </c>
      <c r="EL26" s="377">
        <f t="shared" ref="EL26:EN26" si="44">FF37</f>
        <v>0.88448000000000004</v>
      </c>
      <c r="EM26" s="377">
        <f t="shared" si="44"/>
        <v>1E-4</v>
      </c>
      <c r="EN26" s="377">
        <f t="shared" si="44"/>
        <v>1.341E-2</v>
      </c>
      <c r="EP26" s="1994"/>
      <c r="EQ26" s="1968"/>
      <c r="ER26" s="123" t="s">
        <v>753</v>
      </c>
      <c r="ES26" s="487">
        <v>0.72199999999999998</v>
      </c>
      <c r="ET26" s="487">
        <v>0.71255000000000002</v>
      </c>
      <c r="EU26" s="487">
        <v>1.6000000000000001E-4</v>
      </c>
      <c r="EV26" s="487">
        <v>9.2899999999999996E-3</v>
      </c>
      <c r="EW26" s="487">
        <v>0.78395999999999999</v>
      </c>
      <c r="EX26" s="487">
        <v>0.77451000000000003</v>
      </c>
      <c r="EY26" s="487">
        <v>1.6000000000000001E-4</v>
      </c>
      <c r="EZ26" s="487">
        <v>9.2899999999999996E-3</v>
      </c>
      <c r="FA26" s="487">
        <v>1.00719</v>
      </c>
      <c r="FB26" s="487">
        <v>0.99775000000000003</v>
      </c>
      <c r="FC26" s="487">
        <v>1.6000000000000001E-4</v>
      </c>
      <c r="FD26" s="487">
        <v>9.2899999999999996E-3</v>
      </c>
      <c r="FE26" s="487">
        <v>0.92442000000000002</v>
      </c>
      <c r="FF26" s="487">
        <v>0.91496999999999995</v>
      </c>
      <c r="FG26" s="487">
        <v>1.6000000000000001E-4</v>
      </c>
      <c r="FH26" s="487">
        <v>9.2899999999999996E-3</v>
      </c>
    </row>
    <row r="27" spans="1:164" x14ac:dyDescent="0.35">
      <c r="A27" s="1979"/>
      <c r="B27" s="158" t="s">
        <v>592</v>
      </c>
      <c r="C27" s="159" t="s">
        <v>563</v>
      </c>
      <c r="D27" s="159" t="str">
        <f t="shared" si="0"/>
        <v>Compressed Natural Gas (CNG)|Kilowatt hours (KWh)</v>
      </c>
      <c r="E27" s="1276">
        <f>M14</f>
        <v>0.18387000000000001</v>
      </c>
      <c r="F27" s="1276">
        <f>N14</f>
        <v>0.18351999999999999</v>
      </c>
      <c r="G27" s="1276">
        <f>O14</f>
        <v>2.5000000000000001E-4</v>
      </c>
      <c r="H27" s="1276">
        <f>P14</f>
        <v>1E-4</v>
      </c>
      <c r="J27" s="1373"/>
      <c r="K27" s="1370" t="s">
        <v>1791</v>
      </c>
      <c r="L27" s="123" t="s">
        <v>316</v>
      </c>
      <c r="M27" s="125">
        <v>2542.41</v>
      </c>
      <c r="N27" s="125">
        <v>2537.6799999999998</v>
      </c>
      <c r="O27" s="125">
        <v>3.4</v>
      </c>
      <c r="P27" s="125">
        <v>1.33</v>
      </c>
      <c r="R27" s="150"/>
      <c r="S27" s="151"/>
      <c r="T27" s="123" t="s">
        <v>1785</v>
      </c>
      <c r="U27" s="127">
        <v>1.545E-2</v>
      </c>
      <c r="Y27" s="244" t="s">
        <v>812</v>
      </c>
      <c r="Z27" s="244">
        <v>0.03</v>
      </c>
      <c r="AA27" s="244" t="str">
        <f t="shared" si="4"/>
        <v>Sevoflurane/Ultane|0.03</v>
      </c>
      <c r="AB27" s="244" t="s">
        <v>1778</v>
      </c>
      <c r="AK27" s="235"/>
      <c r="AL27" s="161" t="s">
        <v>1756</v>
      </c>
      <c r="AM27" s="168"/>
      <c r="AN27" s="313"/>
      <c r="AP27" s="159" t="s">
        <v>762</v>
      </c>
      <c r="AQ27" s="158" t="s">
        <v>753</v>
      </c>
      <c r="AR27" s="164" t="str">
        <f t="shared" si="5"/>
        <v>Long-haul-Economy class|miles</v>
      </c>
      <c r="AS27" s="299" t="s">
        <v>1724</v>
      </c>
      <c r="AT27" s="299" t="s">
        <v>1724</v>
      </c>
      <c r="AU27" s="299" t="s">
        <v>1724</v>
      </c>
      <c r="AV27" s="299" t="s">
        <v>1724</v>
      </c>
      <c r="BO27" s="1963"/>
      <c r="BP27" s="1963"/>
      <c r="BQ27" s="123" t="s">
        <v>197</v>
      </c>
      <c r="BR27" s="298">
        <v>0.31191000000000002</v>
      </c>
      <c r="BS27" s="298">
        <v>0.31007000000000001</v>
      </c>
      <c r="BT27" s="298">
        <v>3.49E-6</v>
      </c>
      <c r="BU27" s="298">
        <v>1.8400000000000001E-3</v>
      </c>
      <c r="BW27" s="495" t="s">
        <v>726</v>
      </c>
      <c r="BX27" s="158" t="s">
        <v>713</v>
      </c>
      <c r="BY27" s="158" t="str">
        <f t="shared" si="6"/>
        <v>Articulated truck &gt;33t|Petrol</v>
      </c>
      <c r="BZ27" s="377" t="s">
        <v>1748</v>
      </c>
      <c r="CA27" s="377" t="s">
        <v>1748</v>
      </c>
      <c r="CB27" s="377" t="s">
        <v>1748</v>
      </c>
      <c r="CC27" s="377" t="s">
        <v>1748</v>
      </c>
      <c r="CE27" s="1963"/>
      <c r="CF27" s="1963"/>
      <c r="CG27" s="123" t="s">
        <v>753</v>
      </c>
      <c r="CH27" s="336">
        <v>1.0719000000000001</v>
      </c>
      <c r="CI27" s="336">
        <v>1.0562199999999999</v>
      </c>
      <c r="CJ27" s="336">
        <v>2.5999999999999998E-4</v>
      </c>
      <c r="CK27" s="336">
        <v>1.542E-2</v>
      </c>
      <c r="CL27" s="336">
        <v>1.2726200000000001</v>
      </c>
      <c r="CM27" s="336">
        <v>1.2569399999999999</v>
      </c>
      <c r="CN27" s="336">
        <v>2.5999999999999998E-4</v>
      </c>
      <c r="CO27" s="336">
        <v>1.542E-2</v>
      </c>
      <c r="CP27" s="336">
        <v>1.4733400000000001</v>
      </c>
      <c r="CQ27" s="336">
        <v>1.45766</v>
      </c>
      <c r="CR27" s="336">
        <v>2.5999999999999998E-4</v>
      </c>
      <c r="CS27" s="342">
        <v>1.542E-2</v>
      </c>
      <c r="CT27" s="352">
        <v>1.28928</v>
      </c>
      <c r="CU27" s="352">
        <v>1.2736000000000001</v>
      </c>
      <c r="CV27" s="352">
        <v>2.5999999999999998E-4</v>
      </c>
      <c r="CW27" s="352">
        <v>1.542E-2</v>
      </c>
      <c r="CX27" s="348"/>
      <c r="CY27" s="1969"/>
      <c r="CZ27" s="1970"/>
      <c r="DA27" s="123" t="s">
        <v>753</v>
      </c>
      <c r="DB27" s="126">
        <v>0.18245</v>
      </c>
      <c r="DC27" s="126">
        <v>0.17887</v>
      </c>
      <c r="DD27" s="126">
        <v>2.63E-3</v>
      </c>
      <c r="DE27" s="126">
        <v>9.5E-4</v>
      </c>
      <c r="DF27" s="345"/>
      <c r="DG27" s="345"/>
      <c r="DH27" s="345"/>
      <c r="DI27" s="345"/>
      <c r="DK27" s="1967"/>
      <c r="DL27" s="1388" t="s">
        <v>902</v>
      </c>
      <c r="DM27" s="1389">
        <f t="shared" si="8"/>
        <v>8860</v>
      </c>
      <c r="DO27" s="1968"/>
      <c r="DP27" s="123" t="s">
        <v>902</v>
      </c>
      <c r="DQ27" s="123" t="s">
        <v>202</v>
      </c>
      <c r="DR27" s="388">
        <v>8860</v>
      </c>
      <c r="DY27" s="1963"/>
      <c r="DZ27" s="123" t="s">
        <v>1792</v>
      </c>
      <c r="EA27" s="123" t="s">
        <v>316</v>
      </c>
      <c r="EB27" s="1384">
        <v>3701.4035930512041</v>
      </c>
      <c r="EC27" s="1383" t="s">
        <v>1736</v>
      </c>
      <c r="ED27" s="1383" t="s">
        <v>1736</v>
      </c>
      <c r="EE27" s="1383" t="s">
        <v>1736</v>
      </c>
      <c r="EG27" s="495" t="s">
        <v>726</v>
      </c>
      <c r="EH27" s="163" t="s">
        <v>713</v>
      </c>
      <c r="EI27" s="163" t="s">
        <v>197</v>
      </c>
      <c r="EJ27" s="163" t="str">
        <f t="shared" si="10"/>
        <v>Articulated truck &gt;33t|Petrol|km</v>
      </c>
      <c r="EK27" s="378" t="s">
        <v>1749</v>
      </c>
      <c r="EL27" s="378" t="s">
        <v>1749</v>
      </c>
      <c r="EM27" s="378" t="s">
        <v>1749</v>
      </c>
      <c r="EN27" s="378" t="s">
        <v>1749</v>
      </c>
      <c r="EP27" s="1994"/>
      <c r="EQ27" s="1968" t="s">
        <v>1777</v>
      </c>
      <c r="ER27" s="123" t="s">
        <v>1093</v>
      </c>
      <c r="ES27" s="486"/>
      <c r="ET27" s="486"/>
      <c r="EU27" s="486"/>
      <c r="EV27" s="486"/>
      <c r="EW27" s="487">
        <v>0.25377</v>
      </c>
      <c r="EX27" s="487">
        <v>0.25081999999999999</v>
      </c>
      <c r="EY27" s="487">
        <v>5.0000000000000002E-5</v>
      </c>
      <c r="EZ27" s="487">
        <v>2.8999999999999998E-3</v>
      </c>
      <c r="FA27" s="487">
        <v>0.16975999999999999</v>
      </c>
      <c r="FB27" s="487">
        <v>0.16829</v>
      </c>
      <c r="FC27" s="487">
        <v>2.0000000000000002E-5</v>
      </c>
      <c r="FD27" s="487">
        <v>1.4499999999999999E-3</v>
      </c>
      <c r="FE27" s="487">
        <v>0.4385</v>
      </c>
      <c r="FF27" s="487">
        <v>0.43403000000000003</v>
      </c>
      <c r="FG27" s="487">
        <v>6.9999999999999994E-5</v>
      </c>
      <c r="FH27" s="487">
        <v>4.4000000000000003E-3</v>
      </c>
    </row>
    <row r="28" spans="1:164" x14ac:dyDescent="0.35">
      <c r="A28" s="1979"/>
      <c r="B28" s="158" t="s">
        <v>592</v>
      </c>
      <c r="C28" s="159" t="s">
        <v>575</v>
      </c>
      <c r="D28" s="159" t="str">
        <f t="shared" si="0"/>
        <v>Compressed Natural Gas (CNG)|Litres (l)</v>
      </c>
      <c r="E28" s="1276">
        <f>M12</f>
        <v>0.44327</v>
      </c>
      <c r="F28" s="1276">
        <f>N12</f>
        <v>0.44245000000000001</v>
      </c>
      <c r="G28" s="1276">
        <f>O12</f>
        <v>5.9000000000000003E-4</v>
      </c>
      <c r="H28" s="1276">
        <f>P12</f>
        <v>2.3000000000000001E-4</v>
      </c>
      <c r="J28" s="1373"/>
      <c r="K28" s="1371"/>
      <c r="L28" s="123" t="s">
        <v>1779</v>
      </c>
      <c r="M28" s="126">
        <v>2.03017</v>
      </c>
      <c r="N28" s="126">
        <v>2.0264000000000002</v>
      </c>
      <c r="O28" s="126">
        <v>2.7100000000000002E-3</v>
      </c>
      <c r="P28" s="126">
        <v>1.07E-3</v>
      </c>
      <c r="R28" s="150"/>
      <c r="S28" s="151" t="s">
        <v>583</v>
      </c>
      <c r="T28" s="123" t="s">
        <v>316</v>
      </c>
      <c r="U28" s="127">
        <v>72.297309999999996</v>
      </c>
      <c r="Y28" s="244" t="s">
        <v>815</v>
      </c>
      <c r="Z28" s="244">
        <v>0.25</v>
      </c>
      <c r="AA28" s="244" t="str">
        <f t="shared" si="4"/>
        <v>Desflurane|0.25</v>
      </c>
      <c r="AB28" s="244" t="s">
        <v>1793</v>
      </c>
      <c r="AK28" s="235" t="s">
        <v>1794</v>
      </c>
      <c r="AL28" s="159" t="s">
        <v>1007</v>
      </c>
      <c r="AM28" s="168"/>
      <c r="AN28" s="313"/>
      <c r="AP28" s="159" t="s">
        <v>763</v>
      </c>
      <c r="AQ28" s="158" t="s">
        <v>751</v>
      </c>
      <c r="AR28" s="164" t="str">
        <f t="shared" si="5"/>
        <v>Long-haul-Business class|passenger.km</v>
      </c>
      <c r="AS28" s="299">
        <f>BB15</f>
        <v>0.42385</v>
      </c>
      <c r="AT28" s="299">
        <f t="shared" ref="AT28:AV28" si="45">BC15</f>
        <v>0.42172999999999999</v>
      </c>
      <c r="AU28" s="299">
        <f t="shared" si="45"/>
        <v>2.0000000000000002E-5</v>
      </c>
      <c r="AV28" s="299">
        <f t="shared" si="45"/>
        <v>2.0999999999999999E-3</v>
      </c>
      <c r="BW28" s="495" t="s">
        <v>726</v>
      </c>
      <c r="BX28" s="158" t="s">
        <v>715</v>
      </c>
      <c r="BY28" s="158" t="str">
        <f t="shared" si="6"/>
        <v>Articulated truck &gt;33t|Diesel</v>
      </c>
      <c r="BZ28" s="377">
        <f>CT30</f>
        <v>0.92366999999999999</v>
      </c>
      <c r="CA28" s="377">
        <f t="shared" ref="CA28:CC28" si="46">CU30</f>
        <v>0.90759000000000001</v>
      </c>
      <c r="CB28" s="377">
        <f t="shared" si="46"/>
        <v>1.2E-4</v>
      </c>
      <c r="CC28" s="377">
        <f t="shared" si="46"/>
        <v>1.5959999999999998E-2</v>
      </c>
      <c r="CE28" s="1963"/>
      <c r="CF28" s="1963" t="s">
        <v>1795</v>
      </c>
      <c r="CG28" s="123" t="s">
        <v>197</v>
      </c>
      <c r="CH28" s="336">
        <v>0.64607000000000003</v>
      </c>
      <c r="CI28" s="336">
        <v>0.63256000000000001</v>
      </c>
      <c r="CJ28" s="336">
        <v>1E-4</v>
      </c>
      <c r="CK28" s="336">
        <v>1.341E-2</v>
      </c>
      <c r="CL28" s="336">
        <v>0.80420999999999998</v>
      </c>
      <c r="CM28" s="336">
        <v>0.79069999999999996</v>
      </c>
      <c r="CN28" s="336">
        <v>1E-4</v>
      </c>
      <c r="CO28" s="336">
        <v>1.341E-2</v>
      </c>
      <c r="CP28" s="336">
        <v>0.96235000000000004</v>
      </c>
      <c r="CQ28" s="336">
        <v>0.94882999999999995</v>
      </c>
      <c r="CR28" s="336">
        <v>1E-4</v>
      </c>
      <c r="CS28" s="342">
        <v>1.341E-2</v>
      </c>
      <c r="CT28" s="352">
        <v>0.77573999999999999</v>
      </c>
      <c r="CU28" s="352">
        <v>0.76222999999999996</v>
      </c>
      <c r="CV28" s="352">
        <v>1E-4</v>
      </c>
      <c r="CW28" s="352">
        <v>1.341E-2</v>
      </c>
      <c r="CX28" s="348"/>
      <c r="DK28" s="1967"/>
      <c r="DL28" s="1388" t="s">
        <v>903</v>
      </c>
      <c r="DM28" s="1389">
        <f t="shared" si="8"/>
        <v>9160</v>
      </c>
      <c r="DO28" s="1968"/>
      <c r="DP28" s="123" t="s">
        <v>903</v>
      </c>
      <c r="DQ28" s="123" t="s">
        <v>202</v>
      </c>
      <c r="DR28" s="388">
        <v>9160</v>
      </c>
      <c r="EG28" s="495" t="s">
        <v>726</v>
      </c>
      <c r="EH28" s="158" t="s">
        <v>715</v>
      </c>
      <c r="EI28" s="163" t="s">
        <v>197</v>
      </c>
      <c r="EJ28" s="163" t="str">
        <f t="shared" si="10"/>
        <v>Articulated truck &gt;33t|Diesel|km</v>
      </c>
      <c r="EK28" s="377">
        <f>FE40</f>
        <v>1.06924</v>
      </c>
      <c r="EL28" s="377">
        <f t="shared" ref="EL28:EN28" si="47">FF40</f>
        <v>1.0531600000000001</v>
      </c>
      <c r="EM28" s="377">
        <f t="shared" si="47"/>
        <v>1.2E-4</v>
      </c>
      <c r="EN28" s="377">
        <f t="shared" si="47"/>
        <v>1.5959999999999998E-2</v>
      </c>
      <c r="EP28" s="1994"/>
      <c r="EQ28" s="1968"/>
      <c r="ER28" s="123" t="s">
        <v>197</v>
      </c>
      <c r="ES28" s="487">
        <v>0.53912000000000004</v>
      </c>
      <c r="ET28" s="487">
        <v>0.53195999999999999</v>
      </c>
      <c r="EU28" s="487">
        <v>1.2E-4</v>
      </c>
      <c r="EV28" s="487">
        <v>7.0400000000000003E-3</v>
      </c>
      <c r="EW28" s="487">
        <v>0.61512</v>
      </c>
      <c r="EX28" s="487">
        <v>0.60795999999999994</v>
      </c>
      <c r="EY28" s="487">
        <v>1.2E-4</v>
      </c>
      <c r="EZ28" s="487">
        <v>7.0400000000000003E-3</v>
      </c>
      <c r="FA28" s="487">
        <v>0.82298000000000004</v>
      </c>
      <c r="FB28" s="487">
        <v>0.81581999999999999</v>
      </c>
      <c r="FC28" s="487">
        <v>1.2E-4</v>
      </c>
      <c r="FD28" s="487">
        <v>7.0400000000000003E-3</v>
      </c>
      <c r="FE28" s="487">
        <v>0.70150999999999997</v>
      </c>
      <c r="FF28" s="487">
        <v>0.69435000000000002</v>
      </c>
      <c r="FG28" s="487">
        <v>1.2E-4</v>
      </c>
      <c r="FH28" s="487">
        <v>7.0400000000000003E-3</v>
      </c>
    </row>
    <row r="29" spans="1:164" ht="16.5" x14ac:dyDescent="0.45">
      <c r="A29" s="1979"/>
      <c r="B29" s="158" t="s">
        <v>592</v>
      </c>
      <c r="C29" s="159" t="s">
        <v>569</v>
      </c>
      <c r="D29" s="159" t="str">
        <f t="shared" si="0"/>
        <v>Compressed Natural Gas (CNG)|Kilograms (kg)</v>
      </c>
      <c r="E29" s="169">
        <f>M11/1000</f>
        <v>2.5329999999999999</v>
      </c>
      <c r="F29" s="169">
        <f>N11/1000</f>
        <v>2.5282600000000004</v>
      </c>
      <c r="G29" s="169">
        <f>O11/1000</f>
        <v>3.3999999999999998E-3</v>
      </c>
      <c r="H29" s="169">
        <f>P11/1000</f>
        <v>1.33E-3</v>
      </c>
      <c r="J29" s="1373"/>
      <c r="K29" s="1371"/>
      <c r="L29" s="123" t="s">
        <v>1733</v>
      </c>
      <c r="M29" s="126">
        <v>0.20449000000000001</v>
      </c>
      <c r="N29" s="126">
        <v>0.20411000000000001</v>
      </c>
      <c r="O29" s="126">
        <v>2.7E-4</v>
      </c>
      <c r="P29" s="126">
        <v>1.1E-4</v>
      </c>
      <c r="R29" s="150"/>
      <c r="S29" s="151"/>
      <c r="T29" s="123" t="s">
        <v>1785</v>
      </c>
      <c r="U29" s="127">
        <v>1.545E-2</v>
      </c>
      <c r="Y29" s="244" t="s">
        <v>815</v>
      </c>
      <c r="Z29" s="244">
        <v>0.24</v>
      </c>
      <c r="AA29" s="244" t="str">
        <f t="shared" si="4"/>
        <v>Desflurane|0.24</v>
      </c>
      <c r="AB29" s="244">
        <v>0.35</v>
      </c>
      <c r="AK29" s="235"/>
      <c r="AL29" s="159" t="s">
        <v>1750</v>
      </c>
      <c r="AM29" s="168"/>
      <c r="AN29" s="313"/>
      <c r="AP29" s="159" t="s">
        <v>763</v>
      </c>
      <c r="AQ29" s="158" t="s">
        <v>197</v>
      </c>
      <c r="AR29" s="164" t="str">
        <f t="shared" si="5"/>
        <v>Long-haul-Business class|km</v>
      </c>
      <c r="AS29" s="299" t="s">
        <v>1724</v>
      </c>
      <c r="AT29" s="299" t="s">
        <v>1724</v>
      </c>
      <c r="AU29" s="299" t="s">
        <v>1724</v>
      </c>
      <c r="AV29" s="299" t="s">
        <v>1724</v>
      </c>
      <c r="BO29" s="122" t="s">
        <v>1688</v>
      </c>
      <c r="BP29" s="122" t="s">
        <v>1702</v>
      </c>
      <c r="BQ29" s="122" t="s">
        <v>1689</v>
      </c>
      <c r="BR29" s="123" t="s">
        <v>1690</v>
      </c>
      <c r="BS29" s="123" t="s">
        <v>1691</v>
      </c>
      <c r="BT29" s="123" t="s">
        <v>1692</v>
      </c>
      <c r="BU29" s="123" t="s">
        <v>1693</v>
      </c>
      <c r="BW29" s="496" t="s">
        <v>727</v>
      </c>
      <c r="BX29" s="158" t="s">
        <v>713</v>
      </c>
      <c r="BY29" s="158" t="str">
        <f t="shared" si="6"/>
        <v>Refrigerated articulated truck &gt;3.5 - 33t|Petrol</v>
      </c>
      <c r="BZ29" s="377" t="s">
        <v>1748</v>
      </c>
      <c r="CA29" s="377" t="s">
        <v>1748</v>
      </c>
      <c r="CB29" s="377" t="s">
        <v>1748</v>
      </c>
      <c r="CC29" s="377" t="s">
        <v>1748</v>
      </c>
      <c r="CE29" s="1963"/>
      <c r="CF29" s="1963"/>
      <c r="CG29" s="123" t="s">
        <v>753</v>
      </c>
      <c r="CH29" s="336">
        <v>1.03975</v>
      </c>
      <c r="CI29" s="336">
        <v>1.018</v>
      </c>
      <c r="CJ29" s="336">
        <v>1.6000000000000001E-4</v>
      </c>
      <c r="CK29" s="336">
        <v>2.1590000000000002E-2</v>
      </c>
      <c r="CL29" s="336">
        <v>1.2942499999999999</v>
      </c>
      <c r="CM29" s="336">
        <v>1.2725</v>
      </c>
      <c r="CN29" s="336">
        <v>1.6000000000000001E-4</v>
      </c>
      <c r="CO29" s="336">
        <v>2.1590000000000002E-2</v>
      </c>
      <c r="CP29" s="336">
        <v>1.5487500000000001</v>
      </c>
      <c r="CQ29" s="336">
        <v>1.5269999999999999</v>
      </c>
      <c r="CR29" s="336">
        <v>1.6000000000000001E-4</v>
      </c>
      <c r="CS29" s="342">
        <v>2.1590000000000002E-2</v>
      </c>
      <c r="CT29" s="352">
        <v>1.24844</v>
      </c>
      <c r="CU29" s="352">
        <v>1.2266900000000001</v>
      </c>
      <c r="CV29" s="352">
        <v>1.6000000000000001E-4</v>
      </c>
      <c r="CW29" s="352">
        <v>2.1590000000000002E-2</v>
      </c>
      <c r="CX29" s="348"/>
      <c r="DK29" s="1967"/>
      <c r="DL29" s="1388" t="s">
        <v>904</v>
      </c>
      <c r="DM29" s="1389">
        <f t="shared" si="8"/>
        <v>9300</v>
      </c>
      <c r="DO29" s="1968"/>
      <c r="DP29" s="123" t="s">
        <v>904</v>
      </c>
      <c r="DQ29" s="123" t="s">
        <v>202</v>
      </c>
      <c r="DR29" s="388">
        <v>9300</v>
      </c>
      <c r="DY29" s="128"/>
      <c r="DZ29" s="128"/>
      <c r="EA29" s="128"/>
      <c r="EB29" s="131" t="s">
        <v>1709</v>
      </c>
      <c r="EC29" s="131" t="s">
        <v>1710</v>
      </c>
      <c r="ED29" s="131" t="s">
        <v>1711</v>
      </c>
      <c r="EE29" s="131" t="s">
        <v>1712</v>
      </c>
      <c r="EG29" s="870" t="s">
        <v>1096</v>
      </c>
      <c r="EH29" s="163" t="s">
        <v>713</v>
      </c>
      <c r="EI29" s="163" t="s">
        <v>197</v>
      </c>
      <c r="EJ29" s="163" t="str">
        <f t="shared" si="10"/>
        <v>Cement truck|Petrol|km</v>
      </c>
      <c r="EK29" s="378" t="s">
        <v>1749</v>
      </c>
      <c r="EL29" s="378" t="s">
        <v>1749</v>
      </c>
      <c r="EM29" s="378" t="s">
        <v>1749</v>
      </c>
      <c r="EN29" s="378" t="s">
        <v>1749</v>
      </c>
      <c r="EP29" s="1994"/>
      <c r="EQ29" s="1968"/>
      <c r="ER29" s="123" t="s">
        <v>753</v>
      </c>
      <c r="ES29" s="487">
        <v>0.86763000000000001</v>
      </c>
      <c r="ET29" s="487">
        <v>0.85611000000000004</v>
      </c>
      <c r="EU29" s="487">
        <v>1.9000000000000001E-4</v>
      </c>
      <c r="EV29" s="487">
        <v>1.133E-2</v>
      </c>
      <c r="EW29" s="487">
        <v>0.98992999999999998</v>
      </c>
      <c r="EX29" s="487">
        <v>0.97841</v>
      </c>
      <c r="EY29" s="487">
        <v>1.9000000000000001E-4</v>
      </c>
      <c r="EZ29" s="487">
        <v>1.133E-2</v>
      </c>
      <c r="FA29" s="487">
        <v>1.3244499999999999</v>
      </c>
      <c r="FB29" s="487">
        <v>1.3129299999999999</v>
      </c>
      <c r="FC29" s="487">
        <v>1.9000000000000001E-4</v>
      </c>
      <c r="FD29" s="487">
        <v>1.133E-2</v>
      </c>
      <c r="FE29" s="487">
        <v>1.12897</v>
      </c>
      <c r="FF29" s="487">
        <v>1.1174500000000001</v>
      </c>
      <c r="FG29" s="487">
        <v>1.9000000000000001E-4</v>
      </c>
      <c r="FH29" s="487">
        <v>1.133E-2</v>
      </c>
    </row>
    <row r="30" spans="1:164" ht="17.5" x14ac:dyDescent="0.45">
      <c r="A30" s="1979"/>
      <c r="B30" s="158" t="s">
        <v>592</v>
      </c>
      <c r="C30" s="161" t="s">
        <v>581</v>
      </c>
      <c r="D30" s="159" t="str">
        <f t="shared" si="0"/>
        <v>Compressed Natural Gas (CNG)|Cubic metres (m3)</v>
      </c>
      <c r="E30" s="169">
        <f>E29*'Fuel properties'!G44</f>
        <v>443.27499999999998</v>
      </c>
      <c r="F30" s="169">
        <f>F29*'Fuel properties'!G44</f>
        <v>442.4455000000001</v>
      </c>
      <c r="G30" s="169">
        <f>G29*'Fuel properties'!G44</f>
        <v>0.59499999999999997</v>
      </c>
      <c r="H30" s="169">
        <f>H29*'Fuel properties'!G44</f>
        <v>0.23275000000000001</v>
      </c>
      <c r="J30" s="1373"/>
      <c r="K30" s="1372"/>
      <c r="L30" s="123" t="s">
        <v>1737</v>
      </c>
      <c r="M30" s="126">
        <v>0.18454999999999999</v>
      </c>
      <c r="N30" s="126">
        <v>0.18421000000000001</v>
      </c>
      <c r="O30" s="126">
        <v>2.5000000000000001E-4</v>
      </c>
      <c r="P30" s="126">
        <v>1E-4</v>
      </c>
      <c r="R30" s="150"/>
      <c r="S30" s="151" t="s">
        <v>1796</v>
      </c>
      <c r="T30" s="123" t="s">
        <v>316</v>
      </c>
      <c r="U30" s="127">
        <v>60.954079999999998</v>
      </c>
      <c r="Y30" s="244" t="s">
        <v>815</v>
      </c>
      <c r="Z30" s="244">
        <v>0.2</v>
      </c>
      <c r="AA30" s="244" t="str">
        <f t="shared" si="4"/>
        <v>Desflurane|0.2</v>
      </c>
      <c r="AB30" s="244" t="s">
        <v>1793</v>
      </c>
      <c r="AK30" s="235"/>
      <c r="AL30" s="161" t="s">
        <v>1756</v>
      </c>
      <c r="AM30" s="168"/>
      <c r="AN30" s="313"/>
      <c r="AP30" s="159" t="s">
        <v>763</v>
      </c>
      <c r="AQ30" s="158" t="s">
        <v>753</v>
      </c>
      <c r="AR30" s="164" t="str">
        <f t="shared" si="5"/>
        <v>Long-haul-Business class|miles</v>
      </c>
      <c r="AS30" s="299" t="s">
        <v>1724</v>
      </c>
      <c r="AT30" s="299" t="s">
        <v>1724</v>
      </c>
      <c r="AU30" s="299" t="s">
        <v>1724</v>
      </c>
      <c r="AV30" s="299" t="s">
        <v>1724</v>
      </c>
      <c r="BO30" s="1976" t="s">
        <v>1797</v>
      </c>
      <c r="BP30" s="123" t="s">
        <v>778</v>
      </c>
      <c r="BQ30" s="123" t="s">
        <v>751</v>
      </c>
      <c r="BR30" s="297">
        <v>0.11950000000000001</v>
      </c>
      <c r="BS30" s="297">
        <v>0.11848</v>
      </c>
      <c r="BT30" s="297">
        <v>2.0000000000000002E-5</v>
      </c>
      <c r="BU30" s="297">
        <v>1E-3</v>
      </c>
      <c r="BW30" s="496" t="s">
        <v>727</v>
      </c>
      <c r="BX30" s="158" t="s">
        <v>715</v>
      </c>
      <c r="BY30" s="158" t="str">
        <f t="shared" si="6"/>
        <v>Refrigerated articulated truck &gt;3.5 - 33t|Diesel</v>
      </c>
      <c r="BZ30" s="377">
        <f>CT48</f>
        <v>0.89798999999999995</v>
      </c>
      <c r="CA30" s="377">
        <f t="shared" ref="CA30:CC30" si="48">CU48</f>
        <v>0.88448000000000004</v>
      </c>
      <c r="CB30" s="377">
        <f t="shared" si="48"/>
        <v>1E-4</v>
      </c>
      <c r="CC30" s="377">
        <f t="shared" si="48"/>
        <v>1.341E-2</v>
      </c>
      <c r="CE30" s="1963"/>
      <c r="CF30" s="1963" t="s">
        <v>1798</v>
      </c>
      <c r="CG30" s="123" t="s">
        <v>197</v>
      </c>
      <c r="CH30" s="336">
        <v>0.65224000000000004</v>
      </c>
      <c r="CI30" s="336">
        <v>0.63615999999999995</v>
      </c>
      <c r="CJ30" s="336">
        <v>1.2E-4</v>
      </c>
      <c r="CK30" s="336">
        <v>1.5959999999999998E-2</v>
      </c>
      <c r="CL30" s="336">
        <v>0.86429</v>
      </c>
      <c r="CM30" s="336">
        <v>0.84821999999999997</v>
      </c>
      <c r="CN30" s="336">
        <v>1.2E-4</v>
      </c>
      <c r="CO30" s="336">
        <v>1.5959999999999998E-2</v>
      </c>
      <c r="CP30" s="336">
        <v>1.0763499999999999</v>
      </c>
      <c r="CQ30" s="336">
        <v>1.06027</v>
      </c>
      <c r="CR30" s="336">
        <v>1.2E-4</v>
      </c>
      <c r="CS30" s="342">
        <v>1.5959999999999998E-2</v>
      </c>
      <c r="CT30" s="352">
        <v>0.92366999999999999</v>
      </c>
      <c r="CU30" s="352">
        <v>0.90759000000000001</v>
      </c>
      <c r="CV30" s="352">
        <v>1.2E-4</v>
      </c>
      <c r="CW30" s="352">
        <v>1.5959999999999998E-2</v>
      </c>
      <c r="CX30" s="348"/>
      <c r="DK30" s="1967"/>
      <c r="DL30" s="1388" t="s">
        <v>905</v>
      </c>
      <c r="DM30" s="1389">
        <f t="shared" si="8"/>
        <v>22800</v>
      </c>
      <c r="DO30" s="1968"/>
      <c r="DP30" s="123" t="s">
        <v>905</v>
      </c>
      <c r="DQ30" s="123" t="s">
        <v>202</v>
      </c>
      <c r="DR30" s="388">
        <v>22800</v>
      </c>
      <c r="DY30" s="122" t="s">
        <v>1688</v>
      </c>
      <c r="DZ30" s="122" t="s">
        <v>1117</v>
      </c>
      <c r="EA30" s="122" t="s">
        <v>1689</v>
      </c>
      <c r="EB30" s="1382" t="s">
        <v>1690</v>
      </c>
      <c r="EC30" s="1382" t="s">
        <v>1690</v>
      </c>
      <c r="ED30" s="1382" t="s">
        <v>1690</v>
      </c>
      <c r="EE30" s="1382" t="s">
        <v>1690</v>
      </c>
      <c r="EG30" s="870" t="s">
        <v>1096</v>
      </c>
      <c r="EH30" s="158" t="s">
        <v>715</v>
      </c>
      <c r="EI30" s="163" t="s">
        <v>197</v>
      </c>
      <c r="EJ30" s="163" t="str">
        <f t="shared" si="10"/>
        <v>Cement truck|Diesel|km</v>
      </c>
      <c r="EK30" s="377">
        <f>FE40</f>
        <v>1.06924</v>
      </c>
      <c r="EL30" s="377">
        <f t="shared" ref="EL30:EN30" si="49">FF40</f>
        <v>1.0531600000000001</v>
      </c>
      <c r="EM30" s="377">
        <f t="shared" si="49"/>
        <v>1.2E-4</v>
      </c>
      <c r="EN30" s="377">
        <f t="shared" si="49"/>
        <v>1.5959999999999998E-2</v>
      </c>
      <c r="EP30" s="1994"/>
      <c r="EQ30" s="1968" t="s">
        <v>1783</v>
      </c>
      <c r="ER30" s="123" t="s">
        <v>1093</v>
      </c>
      <c r="ES30" s="486"/>
      <c r="ET30" s="486"/>
      <c r="EU30" s="486"/>
      <c r="EV30" s="486"/>
      <c r="EW30" s="487">
        <v>0.20283000000000001</v>
      </c>
      <c r="EX30" s="487">
        <v>0.20030999999999999</v>
      </c>
      <c r="EY30" s="487">
        <v>4.0000000000000003E-5</v>
      </c>
      <c r="EZ30" s="487">
        <v>2.48E-3</v>
      </c>
      <c r="FA30" s="487">
        <v>0.14223</v>
      </c>
      <c r="FB30" s="487">
        <v>0.14097000000000001</v>
      </c>
      <c r="FC30" s="487">
        <v>2.0000000000000002E-5</v>
      </c>
      <c r="FD30" s="487">
        <v>1.24E-3</v>
      </c>
      <c r="FE30" s="487">
        <v>0.21793000000000001</v>
      </c>
      <c r="FF30" s="487">
        <v>0.2157</v>
      </c>
      <c r="FG30" s="487">
        <v>4.0000000000000003E-5</v>
      </c>
      <c r="FH30" s="487">
        <v>2.1900000000000001E-3</v>
      </c>
    </row>
    <row r="31" spans="1:164" ht="15" customHeight="1" x14ac:dyDescent="0.35">
      <c r="A31" s="1979"/>
      <c r="B31" s="158" t="s">
        <v>595</v>
      </c>
      <c r="C31" s="159" t="s">
        <v>563</v>
      </c>
      <c r="D31" s="159" t="str">
        <f t="shared" si="0"/>
        <v>Butane|Kilowatt hours (KWh)</v>
      </c>
      <c r="E31" s="1276">
        <f>M10</f>
        <v>0.22239999999999999</v>
      </c>
      <c r="F31" s="1276">
        <f t="shared" ref="F31:H31" si="50">N10</f>
        <v>0.22209999999999999</v>
      </c>
      <c r="G31" s="1276">
        <f t="shared" si="50"/>
        <v>1.7000000000000001E-4</v>
      </c>
      <c r="H31" s="1276">
        <f t="shared" si="50"/>
        <v>1.2999999999999999E-4</v>
      </c>
      <c r="J31" s="1373"/>
      <c r="K31" s="1370" t="s">
        <v>1799</v>
      </c>
      <c r="L31" s="123" t="s">
        <v>316</v>
      </c>
      <c r="M31" s="125">
        <v>2601.11</v>
      </c>
      <c r="N31" s="125">
        <v>2598.56</v>
      </c>
      <c r="O31" s="125">
        <v>1.17</v>
      </c>
      <c r="P31" s="125">
        <v>1.39</v>
      </c>
      <c r="R31" s="150"/>
      <c r="S31" s="151"/>
      <c r="T31" s="123" t="s">
        <v>1785</v>
      </c>
      <c r="U31" s="127">
        <v>1.6289999999999999E-2</v>
      </c>
      <c r="Y31" s="244" t="s">
        <v>815</v>
      </c>
      <c r="Z31" s="244">
        <v>0.125</v>
      </c>
      <c r="AA31" s="244" t="str">
        <f t="shared" si="4"/>
        <v>Desflurane|0.125</v>
      </c>
      <c r="AB31" s="244" t="s">
        <v>1793</v>
      </c>
      <c r="AK31" s="235" t="s">
        <v>1800</v>
      </c>
      <c r="AL31" s="159" t="s">
        <v>1007</v>
      </c>
      <c r="AM31" s="168"/>
      <c r="AN31" s="313"/>
      <c r="AP31" s="159" t="s">
        <v>764</v>
      </c>
      <c r="AQ31" s="158" t="s">
        <v>751</v>
      </c>
      <c r="AR31" s="164" t="str">
        <f t="shared" si="5"/>
        <v>Long-haul-First class|passenger.km</v>
      </c>
      <c r="AS31" s="299">
        <f>BB16</f>
        <v>0.58462000000000003</v>
      </c>
      <c r="AT31" s="299">
        <f t="shared" ref="AT31:AV31" si="51">BC16</f>
        <v>0.58169999999999999</v>
      </c>
      <c r="AU31" s="299">
        <f t="shared" si="51"/>
        <v>2.0000000000000002E-5</v>
      </c>
      <c r="AV31" s="299">
        <f t="shared" si="51"/>
        <v>2.8999999999999998E-3</v>
      </c>
      <c r="BO31" s="1978"/>
      <c r="BP31" s="123" t="s">
        <v>779</v>
      </c>
      <c r="BQ31" s="123" t="s">
        <v>751</v>
      </c>
      <c r="BR31" s="297">
        <v>2.7320000000000001E-2</v>
      </c>
      <c r="BS31" s="297">
        <v>2.6790000000000001E-2</v>
      </c>
      <c r="BT31" s="297">
        <v>1.0000000000000001E-5</v>
      </c>
      <c r="BU31" s="297">
        <v>5.1999999999999995E-4</v>
      </c>
      <c r="BW31" s="495" t="s">
        <v>728</v>
      </c>
      <c r="BX31" s="158" t="s">
        <v>713</v>
      </c>
      <c r="BY31" s="158" t="str">
        <f t="shared" si="6"/>
        <v>Refrigerated articulated truck &gt;33t|Petrol</v>
      </c>
      <c r="BZ31" s="377" t="s">
        <v>1748</v>
      </c>
      <c r="CA31" s="377" t="s">
        <v>1748</v>
      </c>
      <c r="CB31" s="377" t="s">
        <v>1748</v>
      </c>
      <c r="CC31" s="377" t="s">
        <v>1748</v>
      </c>
      <c r="CE31" s="1963"/>
      <c r="CF31" s="1963"/>
      <c r="CG31" s="123" t="s">
        <v>753</v>
      </c>
      <c r="CH31" s="336">
        <v>1.0496799999999999</v>
      </c>
      <c r="CI31" s="336">
        <v>1.0238100000000001</v>
      </c>
      <c r="CJ31" s="336">
        <v>1.9000000000000001E-4</v>
      </c>
      <c r="CK31" s="336">
        <v>2.5690000000000001E-2</v>
      </c>
      <c r="CL31" s="336">
        <v>1.3909499999999999</v>
      </c>
      <c r="CM31" s="336">
        <v>1.36507</v>
      </c>
      <c r="CN31" s="336">
        <v>1.9000000000000001E-4</v>
      </c>
      <c r="CO31" s="336">
        <v>2.5690000000000001E-2</v>
      </c>
      <c r="CP31" s="336">
        <v>1.7322200000000001</v>
      </c>
      <c r="CQ31" s="336">
        <v>1.70634</v>
      </c>
      <c r="CR31" s="336">
        <v>1.9000000000000001E-4</v>
      </c>
      <c r="CS31" s="342">
        <v>2.5690000000000001E-2</v>
      </c>
      <c r="CT31" s="352">
        <v>1.4864999999999999</v>
      </c>
      <c r="CU31" s="352">
        <v>1.4606300000000001</v>
      </c>
      <c r="CV31" s="352">
        <v>1.9000000000000001E-4</v>
      </c>
      <c r="CW31" s="352">
        <v>2.5690000000000001E-2</v>
      </c>
      <c r="CX31" s="348"/>
      <c r="DK31" s="1967"/>
      <c r="DL31" s="1388" t="s">
        <v>906</v>
      </c>
      <c r="DM31" s="1389">
        <f t="shared" si="8"/>
        <v>53</v>
      </c>
      <c r="DO31" s="1968"/>
      <c r="DP31" s="123" t="s">
        <v>906</v>
      </c>
      <c r="DQ31" s="123" t="s">
        <v>202</v>
      </c>
      <c r="DR31" s="388">
        <v>53</v>
      </c>
      <c r="DY31" s="1964" t="s">
        <v>1801</v>
      </c>
      <c r="DZ31" s="123" t="s">
        <v>1802</v>
      </c>
      <c r="EA31" s="123" t="s">
        <v>316</v>
      </c>
      <c r="EB31" s="1384">
        <v>3116.2915638696181</v>
      </c>
      <c r="EC31" s="1383" t="s">
        <v>1736</v>
      </c>
      <c r="ED31" s="1384">
        <v>599.99999999999989</v>
      </c>
      <c r="EE31" s="1384">
        <v>2326.530279895238</v>
      </c>
      <c r="EG31" s="869" t="s">
        <v>727</v>
      </c>
      <c r="EH31" s="163" t="s">
        <v>713</v>
      </c>
      <c r="EI31" s="163" t="s">
        <v>197</v>
      </c>
      <c r="EJ31" s="163" t="str">
        <f t="shared" si="10"/>
        <v>Refrigerated articulated truck &gt;3.5 - 33t|Petrol|km</v>
      </c>
      <c r="EK31" s="378" t="s">
        <v>1749</v>
      </c>
      <c r="EL31" s="378" t="s">
        <v>1749</v>
      </c>
      <c r="EM31" s="378" t="s">
        <v>1749</v>
      </c>
      <c r="EN31" s="378" t="s">
        <v>1749</v>
      </c>
      <c r="EP31" s="1994"/>
      <c r="EQ31" s="1968"/>
      <c r="ER31" s="123" t="s">
        <v>197</v>
      </c>
      <c r="ES31" s="487">
        <v>0.77439000000000002</v>
      </c>
      <c r="ET31" s="487">
        <v>0.76266</v>
      </c>
      <c r="EU31" s="487">
        <v>1.9000000000000001E-4</v>
      </c>
      <c r="EV31" s="487">
        <v>1.153E-2</v>
      </c>
      <c r="EW31" s="487">
        <v>0.94179999999999997</v>
      </c>
      <c r="EX31" s="487">
        <v>0.93006999999999995</v>
      </c>
      <c r="EY31" s="487">
        <v>1.9000000000000001E-4</v>
      </c>
      <c r="EZ31" s="487">
        <v>1.153E-2</v>
      </c>
      <c r="FA31" s="487">
        <v>1.32081</v>
      </c>
      <c r="FB31" s="487">
        <v>1.30908</v>
      </c>
      <c r="FC31" s="487">
        <v>1.9000000000000001E-4</v>
      </c>
      <c r="FD31" s="487">
        <v>1.153E-2</v>
      </c>
      <c r="FE31" s="487">
        <v>1.14798</v>
      </c>
      <c r="FF31" s="487">
        <v>1.13625</v>
      </c>
      <c r="FG31" s="487">
        <v>1.9000000000000001E-4</v>
      </c>
      <c r="FH31" s="487">
        <v>1.153E-2</v>
      </c>
    </row>
    <row r="32" spans="1:164" ht="15" customHeight="1" x14ac:dyDescent="0.35">
      <c r="A32" s="1979"/>
      <c r="B32" s="158" t="s">
        <v>595</v>
      </c>
      <c r="C32" s="159" t="s">
        <v>575</v>
      </c>
      <c r="D32" s="159" t="str">
        <f t="shared" si="0"/>
        <v>Butane|Litres (l)</v>
      </c>
      <c r="E32" s="1276">
        <f>M8</f>
        <v>1.74529</v>
      </c>
      <c r="F32" s="1276">
        <f t="shared" ref="F32:H32" si="52">N8</f>
        <v>1.7429600000000001</v>
      </c>
      <c r="G32" s="1276">
        <f t="shared" si="52"/>
        <v>1.2899999999999999E-3</v>
      </c>
      <c r="H32" s="1276">
        <f t="shared" si="52"/>
        <v>1.0399999999999999E-3</v>
      </c>
      <c r="J32" s="1373"/>
      <c r="K32" s="1371"/>
      <c r="L32" s="123" t="s">
        <v>199</v>
      </c>
      <c r="M32" s="126">
        <v>0.95279000000000003</v>
      </c>
      <c r="N32" s="126">
        <v>0.95184999999999997</v>
      </c>
      <c r="O32" s="126">
        <v>4.2999999999999999E-4</v>
      </c>
      <c r="P32" s="126">
        <v>5.1000000000000004E-4</v>
      </c>
      <c r="R32" s="149"/>
      <c r="S32" s="128"/>
      <c r="T32" s="128"/>
      <c r="U32" s="128"/>
      <c r="Y32" s="244" t="s">
        <v>815</v>
      </c>
      <c r="Z32" s="244">
        <v>0.1</v>
      </c>
      <c r="AA32" s="244" t="str">
        <f t="shared" si="4"/>
        <v>Desflurane|0.1</v>
      </c>
      <c r="AB32" s="244" t="s">
        <v>1793</v>
      </c>
      <c r="AK32" s="235"/>
      <c r="AL32" s="159" t="s">
        <v>1750</v>
      </c>
      <c r="AM32" s="168"/>
      <c r="AN32" s="313"/>
      <c r="AP32" s="159" t="s">
        <v>764</v>
      </c>
      <c r="AQ32" s="158" t="s">
        <v>197</v>
      </c>
      <c r="AR32" s="164" t="str">
        <f t="shared" si="5"/>
        <v>Long-haul-First class|km</v>
      </c>
      <c r="AS32" s="299" t="s">
        <v>1724</v>
      </c>
      <c r="AT32" s="299" t="s">
        <v>1724</v>
      </c>
      <c r="AU32" s="299" t="s">
        <v>1724</v>
      </c>
      <c r="AV32" s="299" t="s">
        <v>1724</v>
      </c>
      <c r="BO32" s="128"/>
      <c r="BP32" s="128"/>
      <c r="BQ32" s="128"/>
      <c r="BR32" s="128"/>
      <c r="BS32" s="128"/>
      <c r="BT32" s="128"/>
      <c r="BU32" s="128"/>
      <c r="BW32" s="495" t="s">
        <v>728</v>
      </c>
      <c r="BX32" s="158" t="s">
        <v>715</v>
      </c>
      <c r="BY32" s="158" t="str">
        <f t="shared" si="6"/>
        <v>Refrigerated articulated truck &gt;33t|Diesel</v>
      </c>
      <c r="BZ32" s="377">
        <f>CT50</f>
        <v>1.06924</v>
      </c>
      <c r="CA32" s="377">
        <f t="shared" ref="CA32:CC32" si="53">CU50</f>
        <v>1.0531600000000001</v>
      </c>
      <c r="CB32" s="377">
        <f t="shared" si="53"/>
        <v>1.2E-4</v>
      </c>
      <c r="CC32" s="377">
        <f t="shared" si="53"/>
        <v>1.5959999999999998E-2</v>
      </c>
      <c r="CE32" s="1963"/>
      <c r="CF32" s="1963" t="s">
        <v>1803</v>
      </c>
      <c r="CG32" s="123" t="s">
        <v>197</v>
      </c>
      <c r="CH32" s="336">
        <v>0.65190999999999999</v>
      </c>
      <c r="CI32" s="336">
        <v>0.63597000000000004</v>
      </c>
      <c r="CJ32" s="336">
        <v>1.1E-4</v>
      </c>
      <c r="CK32" s="336">
        <v>1.583E-2</v>
      </c>
      <c r="CL32" s="336">
        <v>0.86104999999999998</v>
      </c>
      <c r="CM32" s="336">
        <v>0.84511000000000003</v>
      </c>
      <c r="CN32" s="336">
        <v>1.1E-4</v>
      </c>
      <c r="CO32" s="336">
        <v>1.583E-2</v>
      </c>
      <c r="CP32" s="336">
        <v>1.0702</v>
      </c>
      <c r="CQ32" s="336">
        <v>1.05426</v>
      </c>
      <c r="CR32" s="336">
        <v>1.1E-4</v>
      </c>
      <c r="CS32" s="342">
        <v>1.583E-2</v>
      </c>
      <c r="CT32" s="352">
        <v>0.91569</v>
      </c>
      <c r="CU32" s="352">
        <v>0.89975000000000005</v>
      </c>
      <c r="CV32" s="352">
        <v>1.1E-4</v>
      </c>
      <c r="CW32" s="352">
        <v>1.583E-2</v>
      </c>
      <c r="CX32" s="348"/>
      <c r="DK32" s="1967"/>
      <c r="DL32" s="1388" t="s">
        <v>907</v>
      </c>
      <c r="DM32" s="1389">
        <f t="shared" si="8"/>
        <v>12</v>
      </c>
      <c r="DO32" s="1968"/>
      <c r="DP32" s="123" t="s">
        <v>907</v>
      </c>
      <c r="DQ32" s="123" t="s">
        <v>202</v>
      </c>
      <c r="DR32" s="388">
        <v>12</v>
      </c>
      <c r="DY32" s="1965"/>
      <c r="DZ32" s="123" t="s">
        <v>1804</v>
      </c>
      <c r="EA32" s="123" t="s">
        <v>316</v>
      </c>
      <c r="EB32" s="1384">
        <v>2574.1647528352833</v>
      </c>
      <c r="EC32" s="1383" t="s">
        <v>1736</v>
      </c>
      <c r="ED32" s="1384">
        <v>600</v>
      </c>
      <c r="EE32" s="1384">
        <v>1894.6286272087464</v>
      </c>
      <c r="EG32" s="496" t="s">
        <v>727</v>
      </c>
      <c r="EH32" s="158" t="s">
        <v>715</v>
      </c>
      <c r="EI32" s="163" t="s">
        <v>197</v>
      </c>
      <c r="EJ32" s="163" t="str">
        <f t="shared" si="10"/>
        <v>Refrigerated articulated truck &gt;3.5 - 33t|Diesel|km</v>
      </c>
      <c r="EK32" s="377">
        <f>FE65</f>
        <v>0.89798999999999995</v>
      </c>
      <c r="EL32" s="377">
        <f t="shared" ref="EL32:EN32" si="54">FF65</f>
        <v>0.88448000000000004</v>
      </c>
      <c r="EM32" s="377">
        <f t="shared" si="54"/>
        <v>1E-4</v>
      </c>
      <c r="EN32" s="377">
        <f t="shared" si="54"/>
        <v>1.341E-2</v>
      </c>
      <c r="EP32" s="1994"/>
      <c r="EQ32" s="1968"/>
      <c r="ER32" s="123" t="s">
        <v>753</v>
      </c>
      <c r="ES32" s="487">
        <v>1.2462599999999999</v>
      </c>
      <c r="ET32" s="487">
        <v>1.2273799999999999</v>
      </c>
      <c r="EU32" s="487">
        <v>3.1E-4</v>
      </c>
      <c r="EV32" s="487">
        <v>1.856E-2</v>
      </c>
      <c r="EW32" s="487">
        <v>1.5156799999999999</v>
      </c>
      <c r="EX32" s="487">
        <v>1.49681</v>
      </c>
      <c r="EY32" s="487">
        <v>3.1E-4</v>
      </c>
      <c r="EZ32" s="487">
        <v>1.856E-2</v>
      </c>
      <c r="FA32" s="487">
        <v>2.1256400000000002</v>
      </c>
      <c r="FB32" s="487">
        <v>2.10676</v>
      </c>
      <c r="FC32" s="487">
        <v>3.1E-4</v>
      </c>
      <c r="FD32" s="487">
        <v>1.856E-2</v>
      </c>
      <c r="FE32" s="487">
        <v>1.8474900000000001</v>
      </c>
      <c r="FF32" s="487">
        <v>1.8286100000000001</v>
      </c>
      <c r="FG32" s="487">
        <v>3.1E-4</v>
      </c>
      <c r="FH32" s="487">
        <v>1.856E-2</v>
      </c>
    </row>
    <row r="33" spans="1:164" ht="18" customHeight="1" x14ac:dyDescent="0.45">
      <c r="A33" s="1979"/>
      <c r="B33" s="158" t="s">
        <v>595</v>
      </c>
      <c r="C33" s="159" t="s">
        <v>569</v>
      </c>
      <c r="D33" s="159" t="str">
        <f t="shared" si="0"/>
        <v>Butane|Kilograms (kg)</v>
      </c>
      <c r="E33" s="1276">
        <f>M7/1000</f>
        <v>3.0333200000000002</v>
      </c>
      <c r="F33" s="1276">
        <f t="shared" ref="F33:H33" si="55">N7/1000</f>
        <v>3.0292600000000003</v>
      </c>
      <c r="G33" s="1276">
        <f t="shared" si="55"/>
        <v>2.2499999999999998E-3</v>
      </c>
      <c r="H33" s="1276">
        <f t="shared" si="55"/>
        <v>1.8E-3</v>
      </c>
      <c r="J33" s="1373"/>
      <c r="K33" s="1371"/>
      <c r="L33" s="123" t="s">
        <v>1733</v>
      </c>
      <c r="M33" s="126">
        <v>0.20094000000000001</v>
      </c>
      <c r="N33" s="126">
        <v>0.20074</v>
      </c>
      <c r="O33" s="126">
        <v>9.0000000000000006E-5</v>
      </c>
      <c r="P33" s="126">
        <v>1.1E-4</v>
      </c>
      <c r="R33" s="147" t="s">
        <v>1688</v>
      </c>
      <c r="S33" s="122" t="s">
        <v>1682</v>
      </c>
      <c r="T33" s="122" t="s">
        <v>1689</v>
      </c>
      <c r="U33" s="123" t="s">
        <v>1690</v>
      </c>
      <c r="Y33" s="244" t="s">
        <v>815</v>
      </c>
      <c r="Z33" s="244">
        <v>0.05</v>
      </c>
      <c r="AA33" s="244" t="str">
        <f t="shared" si="4"/>
        <v>Desflurane|0.05</v>
      </c>
      <c r="AB33" s="244" t="s">
        <v>1793</v>
      </c>
      <c r="AK33" s="235"/>
      <c r="AL33" s="161" t="s">
        <v>1756</v>
      </c>
      <c r="AM33" s="168"/>
      <c r="AN33" s="313"/>
      <c r="AP33" s="159" t="s">
        <v>764</v>
      </c>
      <c r="AQ33" s="158" t="s">
        <v>753</v>
      </c>
      <c r="AR33" s="164" t="str">
        <f t="shared" si="5"/>
        <v>Long-haul-First class|miles</v>
      </c>
      <c r="AS33" s="299" t="s">
        <v>1724</v>
      </c>
      <c r="AT33" s="299" t="s">
        <v>1724</v>
      </c>
      <c r="AU33" s="299" t="s">
        <v>1724</v>
      </c>
      <c r="AV33" s="299" t="s">
        <v>1724</v>
      </c>
      <c r="BO33" s="122" t="s">
        <v>1688</v>
      </c>
      <c r="BP33" s="122" t="s">
        <v>1702</v>
      </c>
      <c r="BQ33" s="122" t="s">
        <v>1689</v>
      </c>
      <c r="BR33" s="123" t="s">
        <v>1690</v>
      </c>
      <c r="BS33" s="123" t="s">
        <v>1691</v>
      </c>
      <c r="BT33" s="123" t="s">
        <v>1692</v>
      </c>
      <c r="BU33" s="123" t="s">
        <v>1693</v>
      </c>
      <c r="BW33" s="158" t="s">
        <v>729</v>
      </c>
      <c r="BX33" s="158" t="s">
        <v>713</v>
      </c>
      <c r="BY33" s="158" t="str">
        <f t="shared" si="6"/>
        <v>Car small|Petrol</v>
      </c>
      <c r="BZ33" s="378">
        <f>DF8</f>
        <v>0.14835999999999999</v>
      </c>
      <c r="CA33" s="378">
        <f t="shared" ref="CA33:CC33" si="56">DG8</f>
        <v>0.14768999999999999</v>
      </c>
      <c r="CB33" s="378">
        <f t="shared" si="56"/>
        <v>3.1E-4</v>
      </c>
      <c r="CC33" s="378">
        <f t="shared" si="56"/>
        <v>3.6000000000000002E-4</v>
      </c>
      <c r="CE33" s="1963"/>
      <c r="CF33" s="1963"/>
      <c r="CG33" s="123" t="s">
        <v>753</v>
      </c>
      <c r="CH33" s="336">
        <v>1.04915</v>
      </c>
      <c r="CI33" s="336">
        <v>1.02349</v>
      </c>
      <c r="CJ33" s="336">
        <v>1.8000000000000001E-4</v>
      </c>
      <c r="CK33" s="336">
        <v>2.547E-2</v>
      </c>
      <c r="CL33" s="336">
        <v>1.3857299999999999</v>
      </c>
      <c r="CM33" s="336">
        <v>1.36008</v>
      </c>
      <c r="CN33" s="336">
        <v>1.8000000000000001E-4</v>
      </c>
      <c r="CO33" s="336">
        <v>2.547E-2</v>
      </c>
      <c r="CP33" s="336">
        <v>1.7223200000000001</v>
      </c>
      <c r="CQ33" s="336">
        <v>1.6966600000000001</v>
      </c>
      <c r="CR33" s="336">
        <v>1.8000000000000001E-4</v>
      </c>
      <c r="CS33" s="342">
        <v>2.547E-2</v>
      </c>
      <c r="CT33" s="352">
        <v>1.47366</v>
      </c>
      <c r="CU33" s="352">
        <v>1.448</v>
      </c>
      <c r="CV33" s="352">
        <v>1.8000000000000001E-4</v>
      </c>
      <c r="CW33" s="352">
        <v>2.547E-2</v>
      </c>
      <c r="CX33" s="348"/>
      <c r="DK33" s="1967"/>
      <c r="DL33" s="1388" t="s">
        <v>908</v>
      </c>
      <c r="DM33" s="1389">
        <f t="shared" si="8"/>
        <v>1340</v>
      </c>
      <c r="DO33" s="1968"/>
      <c r="DP33" s="123" t="s">
        <v>908</v>
      </c>
      <c r="DQ33" s="123" t="s">
        <v>202</v>
      </c>
      <c r="DR33" s="388">
        <v>1340</v>
      </c>
      <c r="DY33" s="1965"/>
      <c r="DZ33" s="123" t="s">
        <v>1805</v>
      </c>
      <c r="EA33" s="123" t="s">
        <v>316</v>
      </c>
      <c r="EB33" s="1384">
        <v>3276.7069334313005</v>
      </c>
      <c r="EC33" s="1383" t="s">
        <v>1736</v>
      </c>
      <c r="ED33" s="1384">
        <v>600</v>
      </c>
      <c r="EE33" s="1384">
        <v>2748.8329795793861</v>
      </c>
      <c r="EG33" s="495" t="s">
        <v>728</v>
      </c>
      <c r="EH33" s="163" t="s">
        <v>713</v>
      </c>
      <c r="EI33" s="163" t="s">
        <v>197</v>
      </c>
      <c r="EJ33" s="163" t="str">
        <f t="shared" si="10"/>
        <v>Refrigerated articulated truck &gt;33t|Petrol|km</v>
      </c>
      <c r="EK33" s="378" t="s">
        <v>1749</v>
      </c>
      <c r="EL33" s="378" t="s">
        <v>1749</v>
      </c>
      <c r="EM33" s="378" t="s">
        <v>1749</v>
      </c>
      <c r="EN33" s="378" t="s">
        <v>1749</v>
      </c>
      <c r="EP33" s="1994"/>
      <c r="EQ33" s="1968" t="s">
        <v>1788</v>
      </c>
      <c r="ER33" s="123" t="s">
        <v>1093</v>
      </c>
      <c r="ES33" s="486"/>
      <c r="ET33" s="486"/>
      <c r="EU33" s="486"/>
      <c r="EV33" s="486"/>
      <c r="EW33" s="487">
        <v>0.2268</v>
      </c>
      <c r="EX33" s="487">
        <v>0.22400999999999999</v>
      </c>
      <c r="EY33" s="487">
        <v>5.0000000000000002E-5</v>
      </c>
      <c r="EZ33" s="487">
        <v>2.7499999999999998E-3</v>
      </c>
      <c r="FA33" s="487">
        <v>0.15633</v>
      </c>
      <c r="FB33" s="487">
        <v>0.15493000000000001</v>
      </c>
      <c r="FC33" s="487">
        <v>2.0000000000000002E-5</v>
      </c>
      <c r="FD33" s="487">
        <v>1.3699999999999999E-3</v>
      </c>
      <c r="FE33" s="487">
        <v>0.25327</v>
      </c>
      <c r="FF33" s="487">
        <v>0.25069000000000002</v>
      </c>
      <c r="FG33" s="487">
        <v>4.0000000000000003E-5</v>
      </c>
      <c r="FH33" s="487">
        <v>2.5400000000000002E-3</v>
      </c>
    </row>
    <row r="34" spans="1:164" ht="17.25" customHeight="1" x14ac:dyDescent="0.35">
      <c r="A34" s="1979"/>
      <c r="B34" s="158" t="s">
        <v>595</v>
      </c>
      <c r="C34" s="161" t="s">
        <v>581</v>
      </c>
      <c r="D34" s="159" t="str">
        <f t="shared" si="0"/>
        <v>Butane|Cubic metres (m3)</v>
      </c>
      <c r="E34" s="1276">
        <f>E33*'Fuel properties'!G61</f>
        <v>1605.3846100000001</v>
      </c>
      <c r="F34" s="1276">
        <f>F33*'Fuel properties'!G61</f>
        <v>1603.2358550000001</v>
      </c>
      <c r="G34" s="1276">
        <f>G33*'Fuel properties'!G61</f>
        <v>1.1908124999999998</v>
      </c>
      <c r="H34" s="1276">
        <f>H33*'Fuel properties'!G61</f>
        <v>0.95265</v>
      </c>
      <c r="J34" s="1373"/>
      <c r="K34" s="1371"/>
      <c r="L34" s="133" t="s">
        <v>1737</v>
      </c>
      <c r="M34" s="134">
        <v>0.18486</v>
      </c>
      <c r="N34" s="134">
        <v>0.18468000000000001</v>
      </c>
      <c r="O34" s="134">
        <v>8.0000000000000007E-5</v>
      </c>
      <c r="P34" s="134">
        <v>1E-4</v>
      </c>
      <c r="R34" s="150" t="s">
        <v>570</v>
      </c>
      <c r="S34" s="151" t="s">
        <v>570</v>
      </c>
      <c r="T34" s="123" t="s">
        <v>316</v>
      </c>
      <c r="U34" s="127">
        <v>1.1911499999999999</v>
      </c>
      <c r="Y34" s="244" t="s">
        <v>815</v>
      </c>
      <c r="Z34" s="244">
        <v>0.03</v>
      </c>
      <c r="AA34" s="244" t="str">
        <f t="shared" si="4"/>
        <v>Desflurane|0.03</v>
      </c>
      <c r="AB34" s="244" t="s">
        <v>1793</v>
      </c>
      <c r="AK34" s="235" t="s">
        <v>1806</v>
      </c>
      <c r="AL34" s="159" t="s">
        <v>1007</v>
      </c>
      <c r="AM34" s="168"/>
      <c r="AN34" s="313"/>
      <c r="AP34" s="159" t="s">
        <v>765</v>
      </c>
      <c r="AQ34" s="158" t="s">
        <v>751</v>
      </c>
      <c r="AR34" s="164" t="str">
        <f t="shared" si="5"/>
        <v>Short-haul-Unknown class|passenger.km</v>
      </c>
      <c r="AS34" s="299">
        <f>BB9</f>
        <v>0.15553</v>
      </c>
      <c r="AT34" s="299">
        <f t="shared" ref="AT34:AV34" si="57">BC9</f>
        <v>0.15475</v>
      </c>
      <c r="AU34" s="299">
        <f t="shared" si="57"/>
        <v>1.0000000000000001E-5</v>
      </c>
      <c r="AV34" s="299">
        <f t="shared" si="57"/>
        <v>7.6999999999999996E-4</v>
      </c>
      <c r="BO34" s="1976" t="s">
        <v>1807</v>
      </c>
      <c r="BP34" s="123" t="s">
        <v>780</v>
      </c>
      <c r="BQ34" s="123" t="s">
        <v>751</v>
      </c>
      <c r="BR34" s="298">
        <v>3.6939999999999994E-2</v>
      </c>
      <c r="BS34" s="298">
        <v>3.6589999999999998E-2</v>
      </c>
      <c r="BT34" s="298">
        <v>6.0000000000000002E-5</v>
      </c>
      <c r="BU34" s="298">
        <v>2.9E-4</v>
      </c>
      <c r="BW34" s="158" t="s">
        <v>729</v>
      </c>
      <c r="BX34" s="158" t="s">
        <v>715</v>
      </c>
      <c r="BY34" s="158" t="str">
        <f t="shared" si="6"/>
        <v>Car small|Diesel</v>
      </c>
      <c r="BZ34" s="378">
        <f>DB8</f>
        <v>0.13721</v>
      </c>
      <c r="CA34" s="378">
        <f t="shared" ref="CA34:CC34" si="58">DC8</f>
        <v>0.13536999999999999</v>
      </c>
      <c r="CB34" s="378">
        <f t="shared" si="58"/>
        <v>3.49E-6</v>
      </c>
      <c r="CC34" s="378">
        <f t="shared" si="58"/>
        <v>1.8400000000000001E-3</v>
      </c>
      <c r="CE34" s="1963"/>
      <c r="CF34" s="1963" t="s">
        <v>1808</v>
      </c>
      <c r="CG34" s="123" t="s">
        <v>197</v>
      </c>
      <c r="CH34" s="336">
        <v>0.65810999999999997</v>
      </c>
      <c r="CI34" s="336">
        <v>0.64488999999999996</v>
      </c>
      <c r="CJ34" s="336">
        <v>1.2999999999999999E-4</v>
      </c>
      <c r="CK34" s="336">
        <v>1.308E-2</v>
      </c>
      <c r="CL34" s="336">
        <v>0.83020000000000005</v>
      </c>
      <c r="CM34" s="336">
        <v>0.81698000000000004</v>
      </c>
      <c r="CN34" s="336">
        <v>1.2999999999999999E-4</v>
      </c>
      <c r="CO34" s="336">
        <v>1.308E-2</v>
      </c>
      <c r="CP34" s="336">
        <v>1.0022899999999999</v>
      </c>
      <c r="CQ34" s="336">
        <v>0.98907</v>
      </c>
      <c r="CR34" s="336">
        <v>1.2999999999999999E-4</v>
      </c>
      <c r="CS34" s="342">
        <v>1.308E-2</v>
      </c>
      <c r="CT34" s="352">
        <v>0.86539999999999995</v>
      </c>
      <c r="CU34" s="352">
        <v>0.85218000000000005</v>
      </c>
      <c r="CV34" s="352">
        <v>1.2999999999999999E-4</v>
      </c>
      <c r="CW34" s="352">
        <v>1.308E-2</v>
      </c>
      <c r="CX34" s="348"/>
      <c r="DK34" s="1967"/>
      <c r="DL34" s="1388" t="s">
        <v>909</v>
      </c>
      <c r="DM34" s="1389">
        <f t="shared" si="8"/>
        <v>1370</v>
      </c>
      <c r="DO34" s="1968"/>
      <c r="DP34" s="123" t="s">
        <v>909</v>
      </c>
      <c r="DQ34" s="123" t="s">
        <v>202</v>
      </c>
      <c r="DR34" s="388">
        <v>1370</v>
      </c>
      <c r="DY34" s="1965"/>
      <c r="DZ34" s="123" t="s">
        <v>1809</v>
      </c>
      <c r="EA34" s="123" t="s">
        <v>316</v>
      </c>
      <c r="EB34" s="1384">
        <v>3269.8388922118374</v>
      </c>
      <c r="EC34" s="1383" t="s">
        <v>1736</v>
      </c>
      <c r="ED34" s="1384">
        <v>600</v>
      </c>
      <c r="EE34" s="1384">
        <v>2350.6163417001762</v>
      </c>
      <c r="EG34" s="495" t="s">
        <v>728</v>
      </c>
      <c r="EH34" s="158" t="s">
        <v>715</v>
      </c>
      <c r="EI34" s="163" t="s">
        <v>197</v>
      </c>
      <c r="EJ34" s="163" t="str">
        <f t="shared" si="10"/>
        <v>Refrigerated articulated truck &gt;33t|Diesel|km</v>
      </c>
      <c r="EK34" s="377">
        <f>FE68</f>
        <v>1.06924</v>
      </c>
      <c r="EL34" s="377">
        <f t="shared" ref="EL34:EN34" si="59">FF68</f>
        <v>1.0531600000000001</v>
      </c>
      <c r="EM34" s="377">
        <f t="shared" si="59"/>
        <v>1.2E-4</v>
      </c>
      <c r="EN34" s="377">
        <f t="shared" si="59"/>
        <v>1.5959999999999998E-2</v>
      </c>
      <c r="EP34" s="1994"/>
      <c r="EQ34" s="1968"/>
      <c r="ER34" s="123" t="s">
        <v>197</v>
      </c>
      <c r="ES34" s="487">
        <v>0.66603999999999997</v>
      </c>
      <c r="ET34" s="487">
        <v>0.65629999999999999</v>
      </c>
      <c r="EU34" s="487">
        <v>1.6000000000000001E-4</v>
      </c>
      <c r="EV34" s="487">
        <v>9.58E-3</v>
      </c>
      <c r="EW34" s="487">
        <v>0.79076999999999997</v>
      </c>
      <c r="EX34" s="487">
        <v>0.78103</v>
      </c>
      <c r="EY34" s="487">
        <v>1.6000000000000001E-4</v>
      </c>
      <c r="EZ34" s="487">
        <v>9.58E-3</v>
      </c>
      <c r="FA34" s="487">
        <v>1.09012</v>
      </c>
      <c r="FB34" s="487">
        <v>1.0803799999999999</v>
      </c>
      <c r="FC34" s="487">
        <v>1.6000000000000001E-4</v>
      </c>
      <c r="FD34" s="487">
        <v>9.58E-3</v>
      </c>
      <c r="FE34" s="487">
        <v>0.95369999999999999</v>
      </c>
      <c r="FF34" s="487">
        <v>0.94396000000000002</v>
      </c>
      <c r="FG34" s="487">
        <v>1.6000000000000001E-4</v>
      </c>
      <c r="FH34" s="487">
        <v>9.58E-3</v>
      </c>
    </row>
    <row r="35" spans="1:164" ht="15" customHeight="1" x14ac:dyDescent="0.35">
      <c r="A35" s="1979"/>
      <c r="B35" s="158" t="s">
        <v>598</v>
      </c>
      <c r="C35" s="159" t="s">
        <v>563</v>
      </c>
      <c r="D35" s="159" t="str">
        <f t="shared" si="0"/>
        <v>Propane|Kilowatt hours (KWh)</v>
      </c>
      <c r="E35" s="1276">
        <f>M38</f>
        <v>0.21410999999999999</v>
      </c>
      <c r="F35" s="1276">
        <f t="shared" ref="F35:H35" si="60">N38</f>
        <v>0.21381</v>
      </c>
      <c r="G35" s="1276">
        <f t="shared" si="60"/>
        <v>1.6000000000000001E-4</v>
      </c>
      <c r="H35" s="1276">
        <f t="shared" si="60"/>
        <v>1.2999999999999999E-4</v>
      </c>
      <c r="J35" s="1373"/>
      <c r="K35" s="1367" t="s">
        <v>598</v>
      </c>
      <c r="L35" s="1366" t="s">
        <v>316</v>
      </c>
      <c r="M35" s="1365">
        <v>2997.55</v>
      </c>
      <c r="N35" s="1365">
        <v>2993.4</v>
      </c>
      <c r="O35" s="1365">
        <v>2.31</v>
      </c>
      <c r="P35" s="1365">
        <v>1.85</v>
      </c>
      <c r="R35" s="150"/>
      <c r="S35" s="151"/>
      <c r="T35" s="123" t="s">
        <v>1785</v>
      </c>
      <c r="U35" s="127">
        <v>2.1000000000000001E-4</v>
      </c>
      <c r="Y35" s="244" t="s">
        <v>821</v>
      </c>
      <c r="Z35" s="244">
        <v>0.25</v>
      </c>
      <c r="AA35" s="244" t="str">
        <f t="shared" si="4"/>
        <v>Enflurane|0.25</v>
      </c>
      <c r="AB35" s="244">
        <v>0.37</v>
      </c>
      <c r="AK35" s="235"/>
      <c r="AL35" s="159" t="s">
        <v>1750</v>
      </c>
      <c r="AM35" s="168"/>
      <c r="AN35" s="313"/>
      <c r="AP35" s="159" t="s">
        <v>765</v>
      </c>
      <c r="AQ35" s="158" t="s">
        <v>197</v>
      </c>
      <c r="AR35" s="164" t="str">
        <f t="shared" si="5"/>
        <v>Short-haul-Unknown class|km</v>
      </c>
      <c r="AS35" s="299" t="s">
        <v>1724</v>
      </c>
      <c r="AT35" s="299" t="s">
        <v>1724</v>
      </c>
      <c r="AU35" s="299" t="s">
        <v>1724</v>
      </c>
      <c r="AV35" s="299" t="s">
        <v>1724</v>
      </c>
      <c r="BO35" s="1977"/>
      <c r="BP35" s="123" t="s">
        <v>781</v>
      </c>
      <c r="BQ35" s="123" t="s">
        <v>751</v>
      </c>
      <c r="BR35" s="298">
        <v>4.9699999999999996E-3</v>
      </c>
      <c r="BS35" s="298">
        <v>4.9199999999999999E-3</v>
      </c>
      <c r="BT35" s="298">
        <v>2.0000000000000002E-5</v>
      </c>
      <c r="BU35" s="298">
        <v>3.0000000000000001E-5</v>
      </c>
      <c r="BW35" s="158" t="s">
        <v>730</v>
      </c>
      <c r="BX35" s="158" t="s">
        <v>713</v>
      </c>
      <c r="BY35" s="158" t="str">
        <f t="shared" si="6"/>
        <v>Car medium|Petrol</v>
      </c>
      <c r="BZ35" s="378">
        <f>DF10</f>
        <v>0.18659000000000001</v>
      </c>
      <c r="CA35" s="378">
        <f t="shared" ref="CA35:CC35" si="61">DG10</f>
        <v>0.18592</v>
      </c>
      <c r="CB35" s="378">
        <f t="shared" si="61"/>
        <v>3.1E-4</v>
      </c>
      <c r="CC35" s="378">
        <f t="shared" si="61"/>
        <v>3.6000000000000002E-4</v>
      </c>
      <c r="CE35" s="1963"/>
      <c r="CF35" s="1963"/>
      <c r="CG35" s="123" t="s">
        <v>753</v>
      </c>
      <c r="CH35" s="336">
        <v>1.0591299999999999</v>
      </c>
      <c r="CI35" s="336">
        <v>1.03786</v>
      </c>
      <c r="CJ35" s="336">
        <v>2.2000000000000001E-4</v>
      </c>
      <c r="CK35" s="336">
        <v>2.1059999999999999E-2</v>
      </c>
      <c r="CL35" s="336">
        <v>1.3360799999999999</v>
      </c>
      <c r="CM35" s="336">
        <v>1.31481</v>
      </c>
      <c r="CN35" s="336">
        <v>2.2000000000000001E-4</v>
      </c>
      <c r="CO35" s="336">
        <v>2.1059999999999999E-2</v>
      </c>
      <c r="CP35" s="336">
        <v>1.61303</v>
      </c>
      <c r="CQ35" s="336">
        <v>1.5917600000000001</v>
      </c>
      <c r="CR35" s="336">
        <v>2.2000000000000001E-4</v>
      </c>
      <c r="CS35" s="342">
        <v>2.1059999999999999E-2</v>
      </c>
      <c r="CT35" s="352">
        <v>1.39273</v>
      </c>
      <c r="CU35" s="352">
        <v>1.3714500000000001</v>
      </c>
      <c r="CV35" s="352">
        <v>2.2000000000000001E-4</v>
      </c>
      <c r="CW35" s="352">
        <v>2.1059999999999999E-2</v>
      </c>
      <c r="CX35" s="348"/>
      <c r="DK35" s="1967"/>
      <c r="DL35" s="1388" t="s">
        <v>910</v>
      </c>
      <c r="DM35" s="1389">
        <f t="shared" si="8"/>
        <v>693</v>
      </c>
      <c r="DO35" s="1968"/>
      <c r="DP35" s="123" t="s">
        <v>910</v>
      </c>
      <c r="DQ35" s="123" t="s">
        <v>202</v>
      </c>
      <c r="DR35" s="388">
        <v>693</v>
      </c>
      <c r="DY35" s="1965"/>
      <c r="DZ35" s="123" t="s">
        <v>1810</v>
      </c>
      <c r="EA35" s="123" t="s">
        <v>316</v>
      </c>
      <c r="EB35" s="1384">
        <v>2600.6363999999999</v>
      </c>
      <c r="EC35" s="1383" t="s">
        <v>1736</v>
      </c>
      <c r="ED35" s="1384">
        <v>600</v>
      </c>
      <c r="EE35" s="1384">
        <v>1797.2226780767996</v>
      </c>
      <c r="EG35" s="158" t="s">
        <v>729</v>
      </c>
      <c r="EH35" s="163" t="s">
        <v>713</v>
      </c>
      <c r="EI35" s="163" t="s">
        <v>197</v>
      </c>
      <c r="EJ35" s="163" t="str">
        <f t="shared" si="10"/>
        <v>Car small|Petrol|km</v>
      </c>
      <c r="EK35" s="378">
        <f>DF8</f>
        <v>0.14835999999999999</v>
      </c>
      <c r="EL35" s="378">
        <f t="shared" ref="EL35:EN35" si="62">DG8</f>
        <v>0.14768999999999999</v>
      </c>
      <c r="EM35" s="378">
        <f t="shared" si="62"/>
        <v>3.1E-4</v>
      </c>
      <c r="EN35" s="378">
        <f t="shared" si="62"/>
        <v>3.6000000000000002E-4</v>
      </c>
      <c r="EP35" s="1994"/>
      <c r="EQ35" s="1968"/>
      <c r="ER35" s="123" t="s">
        <v>753</v>
      </c>
      <c r="ES35" s="487">
        <v>1.0719000000000001</v>
      </c>
      <c r="ET35" s="487">
        <v>1.0562199999999999</v>
      </c>
      <c r="EU35" s="487">
        <v>2.5999999999999998E-4</v>
      </c>
      <c r="EV35" s="487">
        <v>1.542E-2</v>
      </c>
      <c r="EW35" s="487">
        <v>1.2726200000000001</v>
      </c>
      <c r="EX35" s="487">
        <v>1.2569399999999999</v>
      </c>
      <c r="EY35" s="487">
        <v>2.5999999999999998E-4</v>
      </c>
      <c r="EZ35" s="487">
        <v>1.542E-2</v>
      </c>
      <c r="FA35" s="487">
        <v>1.7543800000000001</v>
      </c>
      <c r="FB35" s="487">
        <v>1.7386999999999999</v>
      </c>
      <c r="FC35" s="487">
        <v>2.5999999999999998E-4</v>
      </c>
      <c r="FD35" s="487">
        <v>1.542E-2</v>
      </c>
      <c r="FE35" s="487">
        <v>1.5348299999999999</v>
      </c>
      <c r="FF35" s="487">
        <v>1.51915</v>
      </c>
      <c r="FG35" s="487">
        <v>2.5999999999999998E-4</v>
      </c>
      <c r="FH35" s="487">
        <v>1.542E-2</v>
      </c>
    </row>
    <row r="36" spans="1:164" ht="15" customHeight="1" x14ac:dyDescent="0.35">
      <c r="A36" s="1979"/>
      <c r="B36" s="158" t="s">
        <v>598</v>
      </c>
      <c r="C36" s="159" t="s">
        <v>575</v>
      </c>
      <c r="D36" s="159" t="str">
        <f t="shared" si="0"/>
        <v>Propane|Litres (l)</v>
      </c>
      <c r="E36" s="1276">
        <f>M36</f>
        <v>1.5435399999999999</v>
      </c>
      <c r="F36" s="1276">
        <f t="shared" ref="F36:H36" si="63">N36</f>
        <v>1.5414000000000001</v>
      </c>
      <c r="G36" s="1276">
        <f t="shared" si="63"/>
        <v>1.1900000000000001E-3</v>
      </c>
      <c r="H36" s="1276">
        <f t="shared" si="63"/>
        <v>9.5E-4</v>
      </c>
      <c r="J36" s="1373"/>
      <c r="K36" s="1368"/>
      <c r="L36" s="1366" t="s">
        <v>199</v>
      </c>
      <c r="M36" s="1365">
        <v>1.5435399999999999</v>
      </c>
      <c r="N36" s="1365">
        <v>1.5414000000000001</v>
      </c>
      <c r="O36" s="1365">
        <v>1.1900000000000001E-3</v>
      </c>
      <c r="P36" s="1365">
        <v>9.5E-4</v>
      </c>
      <c r="R36" s="150"/>
      <c r="S36" s="151" t="s">
        <v>1811</v>
      </c>
      <c r="T36" s="123" t="s">
        <v>316</v>
      </c>
      <c r="U36" s="127">
        <v>0.68691000000000002</v>
      </c>
      <c r="Y36" s="244" t="s">
        <v>821</v>
      </c>
      <c r="Z36" s="244">
        <v>0.24</v>
      </c>
      <c r="AA36" s="244" t="str">
        <f t="shared" si="4"/>
        <v>Enflurane|0.24</v>
      </c>
      <c r="AB36" s="244" t="s">
        <v>1812</v>
      </c>
      <c r="AK36" s="235"/>
      <c r="AL36" s="161" t="s">
        <v>1756</v>
      </c>
      <c r="AM36" s="168"/>
      <c r="AN36" s="313"/>
      <c r="AP36" s="159" t="s">
        <v>765</v>
      </c>
      <c r="AQ36" s="158" t="s">
        <v>753</v>
      </c>
      <c r="AR36" s="164" t="str">
        <f t="shared" si="5"/>
        <v>Short-haul-Unknown class|miles</v>
      </c>
      <c r="AS36" s="299" t="s">
        <v>1724</v>
      </c>
      <c r="AT36" s="299" t="s">
        <v>1724</v>
      </c>
      <c r="AU36" s="299" t="s">
        <v>1724</v>
      </c>
      <c r="AV36" s="299" t="s">
        <v>1724</v>
      </c>
      <c r="BO36" s="1978"/>
      <c r="BP36" s="123" t="s">
        <v>782</v>
      </c>
      <c r="BQ36" s="123" t="s">
        <v>751</v>
      </c>
      <c r="BR36" s="298">
        <v>2.9909999999999999E-2</v>
      </c>
      <c r="BS36" s="298">
        <v>2.964E-2</v>
      </c>
      <c r="BT36" s="298">
        <v>9.0000000000000006E-5</v>
      </c>
      <c r="BU36" s="298">
        <v>1.8000000000000001E-4</v>
      </c>
      <c r="BW36" s="158" t="s">
        <v>730</v>
      </c>
      <c r="BX36" s="158" t="s">
        <v>715</v>
      </c>
      <c r="BY36" s="158" t="str">
        <f t="shared" si="6"/>
        <v>Car medium|Diesel</v>
      </c>
      <c r="BZ36" s="378">
        <f>DB10</f>
        <v>0.16636999999999999</v>
      </c>
      <c r="CA36" s="378">
        <f t="shared" ref="CA36:CC36" si="64">DC10</f>
        <v>0.16453000000000001</v>
      </c>
      <c r="CB36" s="378">
        <f t="shared" si="64"/>
        <v>3.49E-6</v>
      </c>
      <c r="CC36" s="378">
        <f t="shared" si="64"/>
        <v>1.8400000000000001E-3</v>
      </c>
      <c r="CE36" s="345"/>
      <c r="CF36" s="345"/>
      <c r="CG36" s="345"/>
      <c r="CH36" s="345"/>
      <c r="CI36" s="345"/>
      <c r="CJ36" s="345"/>
      <c r="CK36" s="345"/>
      <c r="CL36" s="345"/>
      <c r="CM36" s="345"/>
      <c r="CN36" s="345"/>
      <c r="CO36" s="345"/>
      <c r="CP36" s="345"/>
      <c r="CQ36" s="345"/>
      <c r="CR36" s="345"/>
      <c r="CS36" s="345"/>
      <c r="CT36" s="345"/>
      <c r="CU36" s="345"/>
      <c r="CV36" s="345"/>
      <c r="CW36" s="345"/>
      <c r="CX36" s="345"/>
      <c r="DK36" s="1967"/>
      <c r="DL36" s="1388" t="s">
        <v>911</v>
      </c>
      <c r="DM36" s="1389">
        <f t="shared" si="8"/>
        <v>794</v>
      </c>
      <c r="DO36" s="1968"/>
      <c r="DP36" s="123" t="s">
        <v>911</v>
      </c>
      <c r="DQ36" s="123" t="s">
        <v>202</v>
      </c>
      <c r="DR36" s="388">
        <v>794</v>
      </c>
      <c r="DY36" s="1965"/>
      <c r="DZ36" s="123" t="s">
        <v>1813</v>
      </c>
      <c r="EA36" s="123" t="s">
        <v>316</v>
      </c>
      <c r="EB36" s="1384">
        <v>4032.3924975609766</v>
      </c>
      <c r="EC36" s="1383" t="s">
        <v>1736</v>
      </c>
      <c r="ED36" s="1384">
        <v>600</v>
      </c>
      <c r="EE36" s="1384">
        <v>3125.2715672888985</v>
      </c>
      <c r="EG36" s="158" t="s">
        <v>729</v>
      </c>
      <c r="EH36" s="158" t="s">
        <v>715</v>
      </c>
      <c r="EI36" s="163" t="s">
        <v>197</v>
      </c>
      <c r="EJ36" s="163" t="str">
        <f t="shared" si="10"/>
        <v>Car small|Diesel|km</v>
      </c>
      <c r="EK36" s="378">
        <f>DB8</f>
        <v>0.13721</v>
      </c>
      <c r="EL36" s="378">
        <f t="shared" ref="EL36:EN36" si="65">DC8</f>
        <v>0.13536999999999999</v>
      </c>
      <c r="EM36" s="378">
        <f t="shared" si="65"/>
        <v>3.49E-6</v>
      </c>
      <c r="EN36" s="378">
        <f t="shared" si="65"/>
        <v>1.8400000000000001E-3</v>
      </c>
      <c r="EP36" s="1994"/>
      <c r="EQ36" s="1968" t="s">
        <v>1795</v>
      </c>
      <c r="ER36" s="123" t="s">
        <v>1093</v>
      </c>
      <c r="ES36" s="486"/>
      <c r="ET36" s="486"/>
      <c r="EU36" s="486"/>
      <c r="EV36" s="486"/>
      <c r="EW36" s="487">
        <v>0.12053999999999999</v>
      </c>
      <c r="EX36" s="487">
        <v>0.11851</v>
      </c>
      <c r="EY36" s="487">
        <v>1.0000000000000001E-5</v>
      </c>
      <c r="EZ36" s="487">
        <v>2.0100000000000001E-3</v>
      </c>
      <c r="FA36" s="487">
        <v>8.3519999999999997E-2</v>
      </c>
      <c r="FB36" s="487">
        <v>8.251E-2</v>
      </c>
      <c r="FC36" s="487">
        <v>1.0000000000000001E-5</v>
      </c>
      <c r="FD36" s="487">
        <v>1.01E-3</v>
      </c>
      <c r="FE36" s="487">
        <v>0.16414000000000001</v>
      </c>
      <c r="FF36" s="487">
        <v>0.16167000000000001</v>
      </c>
      <c r="FG36" s="487">
        <v>2.0000000000000002E-5</v>
      </c>
      <c r="FH36" s="487">
        <v>2.4499999999999999E-3</v>
      </c>
    </row>
    <row r="37" spans="1:164" x14ac:dyDescent="0.35">
      <c r="A37" s="1979"/>
      <c r="B37" s="158" t="s">
        <v>598</v>
      </c>
      <c r="C37" s="159" t="s">
        <v>569</v>
      </c>
      <c r="D37" s="159" t="str">
        <f t="shared" si="0"/>
        <v>Propane|Kilograms (kg)</v>
      </c>
      <c r="E37" s="1276">
        <f>M35/1000</f>
        <v>2.9975500000000004</v>
      </c>
      <c r="F37" s="1276">
        <f t="shared" ref="F37:H37" si="66">N35/1000</f>
        <v>2.9934000000000003</v>
      </c>
      <c r="G37" s="1276">
        <f t="shared" si="66"/>
        <v>2.31E-3</v>
      </c>
      <c r="H37" s="1276">
        <f t="shared" si="66"/>
        <v>1.8500000000000001E-3</v>
      </c>
      <c r="J37" s="1373"/>
      <c r="K37" s="1368"/>
      <c r="L37" s="1366" t="s">
        <v>1733</v>
      </c>
      <c r="M37" s="1365">
        <v>0.23257</v>
      </c>
      <c r="N37" s="1365">
        <v>0.23225000000000001</v>
      </c>
      <c r="O37" s="1365">
        <v>1.8000000000000001E-4</v>
      </c>
      <c r="P37" s="1365">
        <v>1.3999999999999999E-4</v>
      </c>
      <c r="R37" s="150"/>
      <c r="S37" s="151"/>
      <c r="T37" s="123" t="s">
        <v>1785</v>
      </c>
      <c r="U37" s="127">
        <v>2.0000000000000001E-4</v>
      </c>
      <c r="Y37" s="244" t="s">
        <v>821</v>
      </c>
      <c r="Z37" s="244">
        <v>0.2</v>
      </c>
      <c r="AA37" s="244" t="str">
        <f t="shared" si="4"/>
        <v>Enflurane|0.2</v>
      </c>
      <c r="AB37" s="244" t="s">
        <v>1812</v>
      </c>
      <c r="AK37" s="235"/>
      <c r="AL37" s="159" t="s">
        <v>1007</v>
      </c>
      <c r="AM37" s="168"/>
      <c r="AN37" s="313"/>
      <c r="AP37" s="159" t="s">
        <v>766</v>
      </c>
      <c r="AQ37" s="158" t="s">
        <v>751</v>
      </c>
      <c r="AR37" s="164" t="str">
        <f t="shared" si="5"/>
        <v>Short-haul-Economy class|passenger.km</v>
      </c>
      <c r="AS37" s="299">
        <f>BB10</f>
        <v>0.15298000000000003</v>
      </c>
      <c r="AT37" s="299">
        <f t="shared" ref="AT37:AV37" si="67">BC10</f>
        <v>0.15221000000000001</v>
      </c>
      <c r="AU37" s="299">
        <f t="shared" si="67"/>
        <v>1.0000000000000001E-5</v>
      </c>
      <c r="AV37" s="299">
        <f t="shared" si="67"/>
        <v>7.6000000000000004E-4</v>
      </c>
      <c r="BW37" s="158" t="s">
        <v>731</v>
      </c>
      <c r="BX37" s="158" t="s">
        <v>713</v>
      </c>
      <c r="BY37" s="158" t="str">
        <f t="shared" si="6"/>
        <v>Car large|Petrol</v>
      </c>
      <c r="BZ37" s="378">
        <f>DF12</f>
        <v>0.27806999999999998</v>
      </c>
      <c r="CA37" s="378">
        <f t="shared" ref="CA37:CC37" si="68">DG12</f>
        <v>0.27739999999999998</v>
      </c>
      <c r="CB37" s="378">
        <f t="shared" si="68"/>
        <v>3.1E-4</v>
      </c>
      <c r="CC37" s="378">
        <f t="shared" si="68"/>
        <v>3.6000000000000002E-4</v>
      </c>
      <c r="CE37" s="345"/>
      <c r="CF37" s="345"/>
      <c r="CG37" s="345"/>
      <c r="CH37" s="347"/>
      <c r="CI37" s="347"/>
      <c r="CJ37" s="347"/>
      <c r="CK37" s="347"/>
      <c r="CL37" s="347"/>
      <c r="CM37" s="347"/>
      <c r="CN37" s="347"/>
      <c r="CO37" s="347"/>
      <c r="CP37" s="347"/>
      <c r="CQ37" s="347"/>
      <c r="CR37" s="347"/>
      <c r="CS37" s="347"/>
      <c r="CT37" s="347"/>
      <c r="CU37" s="347"/>
      <c r="CV37" s="347"/>
      <c r="CW37" s="347"/>
      <c r="CX37" s="347"/>
      <c r="DK37" s="1967" t="s">
        <v>1814</v>
      </c>
      <c r="DL37" s="1388" t="s">
        <v>912</v>
      </c>
      <c r="DM37" s="1389">
        <f>DR41</f>
        <v>3922</v>
      </c>
      <c r="DO37" s="330"/>
      <c r="DP37" s="128"/>
      <c r="DQ37" s="128"/>
      <c r="DR37" s="128"/>
      <c r="DY37" s="1965"/>
      <c r="DZ37" s="123" t="s">
        <v>1815</v>
      </c>
      <c r="EA37" s="123" t="s">
        <v>316</v>
      </c>
      <c r="EB37" s="1384">
        <v>3104.7269923344943</v>
      </c>
      <c r="EC37" s="1383" t="s">
        <v>1736</v>
      </c>
      <c r="ED37" s="1384">
        <v>600</v>
      </c>
      <c r="EE37" s="1384">
        <v>2541.3132704112945</v>
      </c>
      <c r="EG37" s="158" t="s">
        <v>730</v>
      </c>
      <c r="EH37" s="163" t="s">
        <v>713</v>
      </c>
      <c r="EI37" s="163" t="s">
        <v>197</v>
      </c>
      <c r="EJ37" s="163" t="str">
        <f t="shared" si="10"/>
        <v>Car medium|Petrol|km</v>
      </c>
      <c r="EK37" s="378">
        <f>DF10</f>
        <v>0.18659000000000001</v>
      </c>
      <c r="EL37" s="378">
        <f t="shared" ref="EL37:EN37" si="69">DG10</f>
        <v>0.18592</v>
      </c>
      <c r="EM37" s="378">
        <f t="shared" si="69"/>
        <v>3.1E-4</v>
      </c>
      <c r="EN37" s="378">
        <f t="shared" si="69"/>
        <v>3.6000000000000002E-4</v>
      </c>
      <c r="EP37" s="1994"/>
      <c r="EQ37" s="1968"/>
      <c r="ER37" s="123" t="s">
        <v>197</v>
      </c>
      <c r="ES37" s="487">
        <v>0.64607000000000003</v>
      </c>
      <c r="ET37" s="487">
        <v>0.63256000000000001</v>
      </c>
      <c r="EU37" s="487">
        <v>1E-4</v>
      </c>
      <c r="EV37" s="487">
        <v>1.341E-2</v>
      </c>
      <c r="EW37" s="487">
        <v>0.80420999999999998</v>
      </c>
      <c r="EX37" s="487">
        <v>0.79069999999999996</v>
      </c>
      <c r="EY37" s="487">
        <v>1E-4</v>
      </c>
      <c r="EZ37" s="487">
        <v>1.341E-2</v>
      </c>
      <c r="FA37" s="487">
        <v>1.11453</v>
      </c>
      <c r="FB37" s="487">
        <v>1.1010200000000001</v>
      </c>
      <c r="FC37" s="487">
        <v>1E-4</v>
      </c>
      <c r="FD37" s="487">
        <v>1.341E-2</v>
      </c>
      <c r="FE37" s="487">
        <v>0.89798999999999995</v>
      </c>
      <c r="FF37" s="487">
        <v>0.88448000000000004</v>
      </c>
      <c r="FG37" s="487">
        <v>1E-4</v>
      </c>
      <c r="FH37" s="487">
        <v>1.341E-2</v>
      </c>
    </row>
    <row r="38" spans="1:164" ht="17.25" customHeight="1" x14ac:dyDescent="0.35">
      <c r="A38" s="1979"/>
      <c r="B38" s="158" t="s">
        <v>598</v>
      </c>
      <c r="C38" s="161" t="s">
        <v>581</v>
      </c>
      <c r="D38" s="159" t="str">
        <f t="shared" si="0"/>
        <v>Propane|Cubic metres (m3)</v>
      </c>
      <c r="E38" s="1276">
        <f>E37*'Fuel properties'!G61</f>
        <v>1586.4533375000001</v>
      </c>
      <c r="F38" s="1276">
        <f>F37*'Fuel properties'!G61</f>
        <v>1584.2569500000002</v>
      </c>
      <c r="G38" s="1276">
        <f>G37*'Fuel properties'!G61</f>
        <v>1.2225675</v>
      </c>
      <c r="H38" s="1276">
        <f>H37*'Fuel properties'!G61</f>
        <v>0.97911250000000005</v>
      </c>
      <c r="J38" s="1374"/>
      <c r="K38" s="1369"/>
      <c r="L38" s="1366" t="s">
        <v>1737</v>
      </c>
      <c r="M38" s="1365">
        <v>0.21410999999999999</v>
      </c>
      <c r="N38" s="1365">
        <v>0.21381</v>
      </c>
      <c r="O38" s="1365">
        <v>1.6000000000000001E-4</v>
      </c>
      <c r="P38" s="1365">
        <v>1.2999999999999999E-4</v>
      </c>
      <c r="Y38" s="244" t="s">
        <v>821</v>
      </c>
      <c r="Z38" s="244">
        <v>0.125</v>
      </c>
      <c r="AA38" s="244" t="str">
        <f t="shared" si="4"/>
        <v>Enflurane|0.125</v>
      </c>
      <c r="AB38" s="244">
        <v>0.185</v>
      </c>
      <c r="AK38" s="235"/>
      <c r="AL38" s="159" t="s">
        <v>1750</v>
      </c>
      <c r="AM38" s="168"/>
      <c r="AN38" s="313"/>
      <c r="AP38" s="159" t="s">
        <v>766</v>
      </c>
      <c r="AQ38" s="158" t="s">
        <v>197</v>
      </c>
      <c r="AR38" s="164" t="str">
        <f t="shared" si="5"/>
        <v>Short-haul-Economy class|km</v>
      </c>
      <c r="AS38" s="299" t="s">
        <v>1724</v>
      </c>
      <c r="AT38" s="299" t="s">
        <v>1724</v>
      </c>
      <c r="AU38" s="299" t="s">
        <v>1724</v>
      </c>
      <c r="AV38" s="299" t="s">
        <v>1724</v>
      </c>
      <c r="BW38" s="158" t="s">
        <v>731</v>
      </c>
      <c r="BX38" s="158" t="s">
        <v>715</v>
      </c>
      <c r="BY38" s="158" t="str">
        <f t="shared" si="6"/>
        <v>Car large|Diesel</v>
      </c>
      <c r="BZ38" s="378">
        <f>DB12</f>
        <v>0.20419000000000001</v>
      </c>
      <c r="CA38" s="378">
        <f t="shared" ref="CA38:CC38" si="70">DC12</f>
        <v>0.20235</v>
      </c>
      <c r="CB38" s="378">
        <f t="shared" si="70"/>
        <v>3.49E-6</v>
      </c>
      <c r="CC38" s="378">
        <f t="shared" si="70"/>
        <v>1.8400000000000001E-3</v>
      </c>
      <c r="CE38" s="345"/>
      <c r="CF38" s="345"/>
      <c r="CG38" s="345"/>
      <c r="CH38" s="1972" t="s">
        <v>1764</v>
      </c>
      <c r="CI38" s="1972"/>
      <c r="CJ38" s="1972"/>
      <c r="CK38" s="1972"/>
      <c r="CL38" s="1972" t="s">
        <v>1765</v>
      </c>
      <c r="CM38" s="1972"/>
      <c r="CN38" s="1972"/>
      <c r="CO38" s="1972"/>
      <c r="CP38" s="1972" t="s">
        <v>1766</v>
      </c>
      <c r="CQ38" s="1972"/>
      <c r="CR38" s="1972"/>
      <c r="CS38" s="1973"/>
      <c r="CT38" s="1975" t="s">
        <v>1767</v>
      </c>
      <c r="CU38" s="1975"/>
      <c r="CV38" s="1975"/>
      <c r="CW38" s="1975"/>
      <c r="CX38" s="344"/>
      <c r="DK38" s="1967"/>
      <c r="DL38" s="1388" t="s">
        <v>913</v>
      </c>
      <c r="DM38" s="1389">
        <f t="shared" ref="DM38:DM45" si="71">DR42</f>
        <v>2107</v>
      </c>
      <c r="DO38" s="330"/>
      <c r="DP38" s="128"/>
      <c r="DQ38" s="128"/>
      <c r="DR38" s="128"/>
      <c r="DY38" s="1965"/>
      <c r="DZ38" s="123" t="s">
        <v>1816</v>
      </c>
      <c r="EA38" s="123" t="s">
        <v>316</v>
      </c>
      <c r="EB38" s="1384">
        <v>3777.9489000000003</v>
      </c>
      <c r="EC38" s="1383" t="s">
        <v>1736</v>
      </c>
      <c r="ED38" s="1384">
        <v>600</v>
      </c>
      <c r="EE38" s="1384">
        <v>3198.9573171428574</v>
      </c>
      <c r="EG38" s="158" t="s">
        <v>730</v>
      </c>
      <c r="EH38" s="158" t="s">
        <v>715</v>
      </c>
      <c r="EI38" s="163" t="s">
        <v>197</v>
      </c>
      <c r="EJ38" s="163" t="str">
        <f t="shared" si="10"/>
        <v>Car medium|Diesel|km</v>
      </c>
      <c r="EK38" s="378">
        <f>DB10</f>
        <v>0.16636999999999999</v>
      </c>
      <c r="EL38" s="378">
        <f t="shared" ref="EL38:EN38" si="72">DC10</f>
        <v>0.16453000000000001</v>
      </c>
      <c r="EM38" s="378">
        <f t="shared" si="72"/>
        <v>3.49E-6</v>
      </c>
      <c r="EN38" s="378">
        <f t="shared" si="72"/>
        <v>1.8400000000000001E-3</v>
      </c>
      <c r="EP38" s="1994"/>
      <c r="EQ38" s="1968"/>
      <c r="ER38" s="123" t="s">
        <v>753</v>
      </c>
      <c r="ES38" s="487">
        <v>1.03975</v>
      </c>
      <c r="ET38" s="487">
        <v>1.018</v>
      </c>
      <c r="EU38" s="487">
        <v>1.6000000000000001E-4</v>
      </c>
      <c r="EV38" s="487">
        <v>2.1590000000000002E-2</v>
      </c>
      <c r="EW38" s="487">
        <v>1.2942499999999999</v>
      </c>
      <c r="EX38" s="487">
        <v>1.2725</v>
      </c>
      <c r="EY38" s="487">
        <v>1.6000000000000001E-4</v>
      </c>
      <c r="EZ38" s="487">
        <v>2.1590000000000002E-2</v>
      </c>
      <c r="FA38" s="487">
        <v>1.79366</v>
      </c>
      <c r="FB38" s="487">
        <v>1.7719100000000001</v>
      </c>
      <c r="FC38" s="487">
        <v>1.6000000000000001E-4</v>
      </c>
      <c r="FD38" s="487">
        <v>2.1590000000000002E-2</v>
      </c>
      <c r="FE38" s="487">
        <v>1.4451799999999999</v>
      </c>
      <c r="FF38" s="487">
        <v>1.42344</v>
      </c>
      <c r="FG38" s="487">
        <v>1.6000000000000001E-4</v>
      </c>
      <c r="FH38" s="487">
        <v>2.1590000000000002E-2</v>
      </c>
    </row>
    <row r="39" spans="1:164" ht="18.75" customHeight="1" thickBot="1" x14ac:dyDescent="0.5">
      <c r="A39" s="1979"/>
      <c r="B39" s="158" t="s">
        <v>600</v>
      </c>
      <c r="C39" s="159" t="s">
        <v>563</v>
      </c>
      <c r="D39" s="159" t="str">
        <f t="shared" ref="D39:D70" si="73">B39&amp;"|"&amp;C39</f>
        <v>Other gaseous fuel|Kilowatt hours (KWh)</v>
      </c>
      <c r="E39" s="1276">
        <f>M34</f>
        <v>0.18486</v>
      </c>
      <c r="F39" s="1276">
        <f>N34</f>
        <v>0.18468000000000001</v>
      </c>
      <c r="G39" s="1276">
        <f>O34</f>
        <v>8.0000000000000007E-5</v>
      </c>
      <c r="H39" s="1276">
        <f>P34</f>
        <v>1E-4</v>
      </c>
      <c r="J39" s="345"/>
      <c r="K39" s="345"/>
      <c r="L39" s="345"/>
      <c r="M39" s="344"/>
      <c r="N39" s="344"/>
      <c r="O39" s="344"/>
      <c r="P39" s="344"/>
      <c r="Y39" s="244" t="s">
        <v>821</v>
      </c>
      <c r="Z39" s="244">
        <v>0.1</v>
      </c>
      <c r="AA39" s="244" t="str">
        <f t="shared" si="4"/>
        <v>Enflurane|0.1</v>
      </c>
      <c r="AB39" s="244" t="s">
        <v>1812</v>
      </c>
      <c r="AK39" s="256"/>
      <c r="AL39" s="283" t="s">
        <v>1756</v>
      </c>
      <c r="AM39" s="187"/>
      <c r="AN39" s="315"/>
      <c r="AP39" s="159" t="s">
        <v>766</v>
      </c>
      <c r="AQ39" s="158" t="s">
        <v>753</v>
      </c>
      <c r="AR39" s="164" t="str">
        <f t="shared" si="5"/>
        <v>Short-haul-Economy class|miles</v>
      </c>
      <c r="AS39" s="299" t="s">
        <v>1724</v>
      </c>
      <c r="AT39" s="299" t="s">
        <v>1724</v>
      </c>
      <c r="AU39" s="299" t="s">
        <v>1724</v>
      </c>
      <c r="AV39" s="299" t="s">
        <v>1724</v>
      </c>
      <c r="BW39" s="159" t="s">
        <v>732</v>
      </c>
      <c r="BX39" s="158" t="s">
        <v>713</v>
      </c>
      <c r="BY39" s="158" t="str">
        <f t="shared" si="6"/>
        <v>Motorbike small|Petrol</v>
      </c>
      <c r="BZ39" s="379">
        <f>DB20</f>
        <v>8.2769999999999996E-2</v>
      </c>
      <c r="CA39" s="379">
        <f t="shared" ref="CA39:CC39" si="74">DC20</f>
        <v>8.0860000000000001E-2</v>
      </c>
      <c r="CB39" s="379">
        <f t="shared" si="74"/>
        <v>1.6100000000000001E-3</v>
      </c>
      <c r="CC39" s="379">
        <f t="shared" si="74"/>
        <v>2.9999999999999997E-4</v>
      </c>
      <c r="CE39" s="122" t="s">
        <v>1688</v>
      </c>
      <c r="CF39" s="122" t="s">
        <v>1702</v>
      </c>
      <c r="CG39" s="122" t="s">
        <v>1689</v>
      </c>
      <c r="CH39" s="123" t="s">
        <v>1690</v>
      </c>
      <c r="CI39" s="123" t="s">
        <v>1691</v>
      </c>
      <c r="CJ39" s="123" t="s">
        <v>1692</v>
      </c>
      <c r="CK39" s="123" t="s">
        <v>1693</v>
      </c>
      <c r="CL39" s="123" t="s">
        <v>1690</v>
      </c>
      <c r="CM39" s="123" t="s">
        <v>1691</v>
      </c>
      <c r="CN39" s="123" t="s">
        <v>1692</v>
      </c>
      <c r="CO39" s="123" t="s">
        <v>1693</v>
      </c>
      <c r="CP39" s="123" t="s">
        <v>1690</v>
      </c>
      <c r="CQ39" s="123" t="s">
        <v>1691</v>
      </c>
      <c r="CR39" s="123" t="s">
        <v>1692</v>
      </c>
      <c r="CS39" s="339" t="s">
        <v>1693</v>
      </c>
      <c r="CT39" s="349" t="s">
        <v>1690</v>
      </c>
      <c r="CU39" s="349" t="s">
        <v>1691</v>
      </c>
      <c r="CV39" s="349" t="s">
        <v>1692</v>
      </c>
      <c r="CW39" s="349" t="s">
        <v>1693</v>
      </c>
      <c r="CX39" s="345"/>
      <c r="DK39" s="1967"/>
      <c r="DL39" s="1388" t="s">
        <v>914</v>
      </c>
      <c r="DM39" s="1389">
        <f t="shared" si="71"/>
        <v>1774</v>
      </c>
      <c r="DO39" s="330"/>
      <c r="DP39" s="128"/>
      <c r="DQ39" s="128"/>
      <c r="DR39" s="128"/>
      <c r="DY39" s="1966"/>
      <c r="DZ39" s="123" t="s">
        <v>1817</v>
      </c>
      <c r="EA39" s="123" t="s">
        <v>316</v>
      </c>
      <c r="EB39" s="1384">
        <v>3413.0841611940295</v>
      </c>
      <c r="EC39" s="1383" t="s">
        <v>1736</v>
      </c>
      <c r="ED39" s="1384">
        <v>600</v>
      </c>
      <c r="EE39" s="1384">
        <v>2489.6704392708298</v>
      </c>
      <c r="EG39" s="158" t="s">
        <v>731</v>
      </c>
      <c r="EH39" s="163" t="s">
        <v>713</v>
      </c>
      <c r="EI39" s="163" t="s">
        <v>197</v>
      </c>
      <c r="EJ39" s="163" t="str">
        <f t="shared" si="10"/>
        <v>Car large|Petrol|km</v>
      </c>
      <c r="EK39" s="378">
        <f>DF12</f>
        <v>0.27806999999999998</v>
      </c>
      <c r="EL39" s="378">
        <f t="shared" ref="EL39:EN39" si="75">DG12</f>
        <v>0.27739999999999998</v>
      </c>
      <c r="EM39" s="378">
        <f t="shared" si="75"/>
        <v>3.1E-4</v>
      </c>
      <c r="EN39" s="378">
        <f t="shared" si="75"/>
        <v>3.6000000000000002E-4</v>
      </c>
      <c r="EP39" s="1994"/>
      <c r="EQ39" s="1968" t="s">
        <v>1798</v>
      </c>
      <c r="ER39" s="123" t="s">
        <v>1093</v>
      </c>
      <c r="ES39" s="486"/>
      <c r="ET39" s="486"/>
      <c r="EU39" s="486"/>
      <c r="EV39" s="486"/>
      <c r="EW39" s="487">
        <v>9.3100000000000002E-2</v>
      </c>
      <c r="EX39" s="487">
        <v>9.1370000000000007E-2</v>
      </c>
      <c r="EY39" s="487">
        <v>1.0000000000000001E-5</v>
      </c>
      <c r="EZ39" s="487">
        <v>1.72E-3</v>
      </c>
      <c r="FA39" s="487">
        <v>6.7129999999999995E-2</v>
      </c>
      <c r="FB39" s="487">
        <v>6.6259999999999999E-2</v>
      </c>
      <c r="FC39" s="487">
        <v>1.0000000000000001E-5</v>
      </c>
      <c r="FD39" s="487">
        <v>8.5999999999999998E-4</v>
      </c>
      <c r="FE39" s="487">
        <v>8.9980000000000004E-2</v>
      </c>
      <c r="FF39" s="487">
        <v>8.863E-2</v>
      </c>
      <c r="FG39" s="487">
        <v>1.0000000000000001E-5</v>
      </c>
      <c r="FH39" s="487">
        <v>1.34E-3</v>
      </c>
    </row>
    <row r="40" spans="1:164" ht="18" customHeight="1" x14ac:dyDescent="0.45">
      <c r="A40" s="1979"/>
      <c r="B40" s="158" t="s">
        <v>600</v>
      </c>
      <c r="C40" s="159" t="s">
        <v>575</v>
      </c>
      <c r="D40" s="159" t="str">
        <f t="shared" si="73"/>
        <v>Other gaseous fuel|Litres (l)</v>
      </c>
      <c r="E40" s="1276">
        <f>M32</f>
        <v>0.95279000000000003</v>
      </c>
      <c r="F40" s="1276">
        <f>N32</f>
        <v>0.95184999999999997</v>
      </c>
      <c r="G40" s="1276">
        <f>O32</f>
        <v>4.2999999999999999E-4</v>
      </c>
      <c r="H40" s="1276">
        <f>P32</f>
        <v>5.1000000000000004E-4</v>
      </c>
      <c r="J40" s="122" t="s">
        <v>1688</v>
      </c>
      <c r="K40" s="122" t="s">
        <v>1682</v>
      </c>
      <c r="L40" s="122" t="s">
        <v>1689</v>
      </c>
      <c r="M40" s="123" t="s">
        <v>1690</v>
      </c>
      <c r="N40" s="123" t="s">
        <v>1691</v>
      </c>
      <c r="O40" s="130" t="s">
        <v>1692</v>
      </c>
      <c r="P40" s="130" t="s">
        <v>1693</v>
      </c>
      <c r="Y40" s="244" t="s">
        <v>821</v>
      </c>
      <c r="Z40" s="244">
        <v>0.05</v>
      </c>
      <c r="AA40" s="244" t="str">
        <f t="shared" si="4"/>
        <v>Enflurane|0.05</v>
      </c>
      <c r="AB40" s="244" t="s">
        <v>1812</v>
      </c>
      <c r="AP40" s="159" t="s">
        <v>767</v>
      </c>
      <c r="AQ40" s="158" t="s">
        <v>751</v>
      </c>
      <c r="AR40" s="164" t="str">
        <f t="shared" si="5"/>
        <v>Short-haul-Business class|passenger.km</v>
      </c>
      <c r="AS40" s="299">
        <f>BB11</f>
        <v>0.22947000000000001</v>
      </c>
      <c r="AT40" s="299">
        <f t="shared" ref="AT40:AV40" si="76">BC11</f>
        <v>0.22832</v>
      </c>
      <c r="AU40" s="299">
        <f t="shared" si="76"/>
        <v>1.0000000000000001E-5</v>
      </c>
      <c r="AV40" s="299">
        <f t="shared" si="76"/>
        <v>1.14E-3</v>
      </c>
      <c r="BW40" s="159" t="s">
        <v>732</v>
      </c>
      <c r="BX40" s="158" t="s">
        <v>715</v>
      </c>
      <c r="BY40" s="158" t="str">
        <f t="shared" si="6"/>
        <v>Motorbike small|Diesel</v>
      </c>
      <c r="BZ40" s="379" t="s">
        <v>1818</v>
      </c>
      <c r="CA40" s="379" t="s">
        <v>1818</v>
      </c>
      <c r="CB40" s="379" t="s">
        <v>1818</v>
      </c>
      <c r="CC40" s="379" t="s">
        <v>1818</v>
      </c>
      <c r="CE40" s="1963" t="s">
        <v>1819</v>
      </c>
      <c r="CF40" s="1963" t="s">
        <v>1773</v>
      </c>
      <c r="CG40" s="123" t="s">
        <v>197</v>
      </c>
      <c r="CH40" s="336">
        <v>0.53398999999999996</v>
      </c>
      <c r="CI40" s="336">
        <v>0.52812000000000003</v>
      </c>
      <c r="CJ40" s="336">
        <v>1E-4</v>
      </c>
      <c r="CK40" s="336">
        <v>5.77E-3</v>
      </c>
      <c r="CL40" s="336">
        <v>0.57991999999999999</v>
      </c>
      <c r="CM40" s="336">
        <v>0.57404999999999995</v>
      </c>
      <c r="CN40" s="336">
        <v>1E-4</v>
      </c>
      <c r="CO40" s="336">
        <v>5.77E-3</v>
      </c>
      <c r="CP40" s="336">
        <v>0.62583999999999995</v>
      </c>
      <c r="CQ40" s="336">
        <v>0.61997000000000002</v>
      </c>
      <c r="CR40" s="336">
        <v>1E-4</v>
      </c>
      <c r="CS40" s="342">
        <v>5.77E-3</v>
      </c>
      <c r="CT40" s="352">
        <v>0.57440999999999998</v>
      </c>
      <c r="CU40" s="352">
        <v>0.56854000000000005</v>
      </c>
      <c r="CV40" s="352">
        <v>1E-4</v>
      </c>
      <c r="CW40" s="352">
        <v>5.77E-3</v>
      </c>
      <c r="CX40" s="348"/>
      <c r="DK40" s="1967"/>
      <c r="DL40" s="1388" t="s">
        <v>915</v>
      </c>
      <c r="DM40" s="1389">
        <f t="shared" si="71"/>
        <v>1825</v>
      </c>
      <c r="DO40" s="331" t="s">
        <v>1688</v>
      </c>
      <c r="DP40" s="122" t="s">
        <v>1706</v>
      </c>
      <c r="DQ40" s="122" t="s">
        <v>1689</v>
      </c>
      <c r="DR40" s="123" t="s">
        <v>1690</v>
      </c>
      <c r="EG40" s="158" t="s">
        <v>731</v>
      </c>
      <c r="EH40" s="158" t="s">
        <v>715</v>
      </c>
      <c r="EI40" s="163" t="s">
        <v>197</v>
      </c>
      <c r="EJ40" s="163" t="str">
        <f t="shared" si="10"/>
        <v>Car large|Diesel|km</v>
      </c>
      <c r="EK40" s="378">
        <f>DB12</f>
        <v>0.20419000000000001</v>
      </c>
      <c r="EL40" s="378">
        <f t="shared" ref="EL40:EN40" si="77">DC12</f>
        <v>0.20235</v>
      </c>
      <c r="EM40" s="378">
        <f t="shared" si="77"/>
        <v>3.49E-6</v>
      </c>
      <c r="EN40" s="378">
        <f t="shared" si="77"/>
        <v>1.8400000000000001E-3</v>
      </c>
      <c r="EP40" s="1994"/>
      <c r="EQ40" s="1968"/>
      <c r="ER40" s="123" t="s">
        <v>197</v>
      </c>
      <c r="ES40" s="487">
        <v>0.65224000000000004</v>
      </c>
      <c r="ET40" s="487">
        <v>0.63615999999999995</v>
      </c>
      <c r="EU40" s="487">
        <v>1.2E-4</v>
      </c>
      <c r="EV40" s="487">
        <v>1.5959999999999998E-2</v>
      </c>
      <c r="EW40" s="487">
        <v>0.86429</v>
      </c>
      <c r="EX40" s="487">
        <v>0.84821999999999997</v>
      </c>
      <c r="EY40" s="487">
        <v>1.2E-4</v>
      </c>
      <c r="EZ40" s="487">
        <v>1.5959999999999998E-2</v>
      </c>
      <c r="FA40" s="487">
        <v>1.2464</v>
      </c>
      <c r="FB40" s="487">
        <v>1.2303200000000001</v>
      </c>
      <c r="FC40" s="487">
        <v>1.2E-4</v>
      </c>
      <c r="FD40" s="487">
        <v>1.5959999999999998E-2</v>
      </c>
      <c r="FE40" s="487">
        <v>1.06924</v>
      </c>
      <c r="FF40" s="487">
        <v>1.0531600000000001</v>
      </c>
      <c r="FG40" s="487">
        <v>1.2E-4</v>
      </c>
      <c r="FH40" s="487">
        <v>1.5959999999999998E-2</v>
      </c>
    </row>
    <row r="41" spans="1:164" ht="18" customHeight="1" x14ac:dyDescent="0.35">
      <c r="A41" s="1979"/>
      <c r="B41" s="158" t="s">
        <v>600</v>
      </c>
      <c r="C41" s="159" t="s">
        <v>569</v>
      </c>
      <c r="D41" s="159" t="str">
        <f t="shared" si="73"/>
        <v>Other gaseous fuel|Kilograms (kg)</v>
      </c>
      <c r="E41" s="169">
        <f>M31/1000</f>
        <v>2.6011100000000003</v>
      </c>
      <c r="F41" s="169">
        <f>N31/1000</f>
        <v>2.59856</v>
      </c>
      <c r="G41" s="169">
        <f>O31/1000</f>
        <v>1.17E-3</v>
      </c>
      <c r="H41" s="169">
        <f>P31/1000</f>
        <v>1.39E-3</v>
      </c>
      <c r="J41" s="1976" t="s">
        <v>1820</v>
      </c>
      <c r="K41" s="1964" t="s">
        <v>1821</v>
      </c>
      <c r="L41" s="123" t="s">
        <v>316</v>
      </c>
      <c r="M41" s="131">
        <v>3218.6</v>
      </c>
      <c r="N41" s="131">
        <v>3127.67</v>
      </c>
      <c r="O41" s="131">
        <v>61.13</v>
      </c>
      <c r="P41" s="131">
        <v>29.8</v>
      </c>
      <c r="Y41" s="244" t="s">
        <v>821</v>
      </c>
      <c r="Z41" s="244">
        <v>0.03</v>
      </c>
      <c r="AA41" s="244" t="str">
        <f t="shared" si="4"/>
        <v>Enflurane|0.03</v>
      </c>
      <c r="AB41" s="244" t="s">
        <v>1812</v>
      </c>
      <c r="AP41" s="159" t="s">
        <v>767</v>
      </c>
      <c r="AQ41" s="158" t="s">
        <v>197</v>
      </c>
      <c r="AR41" s="164" t="str">
        <f t="shared" si="5"/>
        <v>Short-haul-Business class|km</v>
      </c>
      <c r="AS41" s="299" t="s">
        <v>1724</v>
      </c>
      <c r="AT41" s="299" t="s">
        <v>1724</v>
      </c>
      <c r="AU41" s="299" t="s">
        <v>1724</v>
      </c>
      <c r="AV41" s="299" t="s">
        <v>1724</v>
      </c>
      <c r="BW41" s="158" t="s">
        <v>733</v>
      </c>
      <c r="BX41" s="158" t="s">
        <v>713</v>
      </c>
      <c r="BY41" s="158" t="str">
        <f t="shared" si="6"/>
        <v>Motorbike medium|Petrol</v>
      </c>
      <c r="BZ41" s="379">
        <f>DB22</f>
        <v>0.10086000000000001</v>
      </c>
      <c r="CA41" s="379">
        <f t="shared" ref="CA41:CC41" si="78">DC22</f>
        <v>9.8159999999999997E-2</v>
      </c>
      <c r="CB41" s="379">
        <f t="shared" si="78"/>
        <v>2.0999999999999999E-3</v>
      </c>
      <c r="CC41" s="379">
        <f t="shared" si="78"/>
        <v>5.9999999999999995E-4</v>
      </c>
      <c r="CE41" s="1963"/>
      <c r="CF41" s="1963"/>
      <c r="CG41" s="123" t="s">
        <v>753</v>
      </c>
      <c r="CH41" s="336">
        <v>0.85938000000000003</v>
      </c>
      <c r="CI41" s="336">
        <v>0.84992999999999996</v>
      </c>
      <c r="CJ41" s="336">
        <v>1.6000000000000001E-4</v>
      </c>
      <c r="CK41" s="336">
        <v>9.2899999999999996E-3</v>
      </c>
      <c r="CL41" s="336">
        <v>0.93328</v>
      </c>
      <c r="CM41" s="336">
        <v>0.92383999999999999</v>
      </c>
      <c r="CN41" s="336">
        <v>1.6000000000000001E-4</v>
      </c>
      <c r="CO41" s="336">
        <v>9.2899999999999996E-3</v>
      </c>
      <c r="CP41" s="336">
        <v>1.00719</v>
      </c>
      <c r="CQ41" s="336">
        <v>0.99775000000000003</v>
      </c>
      <c r="CR41" s="336">
        <v>1.6000000000000001E-4</v>
      </c>
      <c r="CS41" s="342">
        <v>9.2899999999999996E-3</v>
      </c>
      <c r="CT41" s="352">
        <v>0.92442000000000002</v>
      </c>
      <c r="CU41" s="352">
        <v>0.91496999999999995</v>
      </c>
      <c r="CV41" s="352">
        <v>1.6000000000000001E-4</v>
      </c>
      <c r="CW41" s="352">
        <v>9.2899999999999996E-3</v>
      </c>
      <c r="CX41" s="348"/>
      <c r="DK41" s="1967"/>
      <c r="DL41" s="1388" t="s">
        <v>916</v>
      </c>
      <c r="DM41" s="1389">
        <f t="shared" si="71"/>
        <v>3152</v>
      </c>
      <c r="DO41" s="1968" t="s">
        <v>1814</v>
      </c>
      <c r="DP41" s="123" t="s">
        <v>912</v>
      </c>
      <c r="DQ41" s="123" t="s">
        <v>202</v>
      </c>
      <c r="DR41" s="388">
        <v>3922</v>
      </c>
      <c r="EG41" s="159" t="s">
        <v>732</v>
      </c>
      <c r="EH41" s="163" t="s">
        <v>713</v>
      </c>
      <c r="EI41" s="163" t="s">
        <v>197</v>
      </c>
      <c r="EJ41" s="163" t="str">
        <f t="shared" si="10"/>
        <v>Motorbike small|Petrol|km</v>
      </c>
      <c r="EK41" s="378">
        <f>DB20</f>
        <v>8.2769999999999996E-2</v>
      </c>
      <c r="EL41" s="378">
        <f t="shared" ref="EL41:EN41" si="79">DC20</f>
        <v>8.0860000000000001E-2</v>
      </c>
      <c r="EM41" s="378">
        <f t="shared" si="79"/>
        <v>1.6100000000000001E-3</v>
      </c>
      <c r="EN41" s="378">
        <f t="shared" si="79"/>
        <v>2.9999999999999997E-4</v>
      </c>
      <c r="EP41" s="1994"/>
      <c r="EQ41" s="1968"/>
      <c r="ER41" s="123" t="s">
        <v>753</v>
      </c>
      <c r="ES41" s="487">
        <v>1.0496799999999999</v>
      </c>
      <c r="ET41" s="487">
        <v>1.0238100000000001</v>
      </c>
      <c r="EU41" s="487">
        <v>1.9000000000000001E-4</v>
      </c>
      <c r="EV41" s="487">
        <v>2.5690000000000001E-2</v>
      </c>
      <c r="EW41" s="487">
        <v>1.3909499999999999</v>
      </c>
      <c r="EX41" s="487">
        <v>1.36507</v>
      </c>
      <c r="EY41" s="487">
        <v>1.9000000000000001E-4</v>
      </c>
      <c r="EZ41" s="487">
        <v>2.5690000000000001E-2</v>
      </c>
      <c r="FA41" s="487">
        <v>2.00589</v>
      </c>
      <c r="FB41" s="487">
        <v>1.9800199999999999</v>
      </c>
      <c r="FC41" s="487">
        <v>1.9000000000000001E-4</v>
      </c>
      <c r="FD41" s="487">
        <v>2.5690000000000001E-2</v>
      </c>
      <c r="FE41" s="487">
        <v>1.7207699999999999</v>
      </c>
      <c r="FF41" s="487">
        <v>1.69489</v>
      </c>
      <c r="FG41" s="487">
        <v>1.9000000000000001E-4</v>
      </c>
      <c r="FH41" s="487">
        <v>2.5690000000000001E-2</v>
      </c>
    </row>
    <row r="42" spans="1:164" ht="16.5" x14ac:dyDescent="0.35">
      <c r="A42" s="1979"/>
      <c r="B42" s="158" t="s">
        <v>600</v>
      </c>
      <c r="C42" s="161" t="s">
        <v>581</v>
      </c>
      <c r="D42" s="159" t="str">
        <f t="shared" si="73"/>
        <v>Other gaseous fuel|Cubic metres (m3)</v>
      </c>
      <c r="E42" s="1279">
        <f>E41*'Fuel properties'!G30</f>
        <v>952.78659300000015</v>
      </c>
      <c r="F42" s="1279">
        <f>F41*'Fuel properties'!G30</f>
        <v>951.85252800000001</v>
      </c>
      <c r="G42" s="1279">
        <f>G41*'Fuel properties'!G30</f>
        <v>0.42857100000000004</v>
      </c>
      <c r="H42" s="1279">
        <f>H41*'Fuel properties'!G30</f>
        <v>0.50915699999999997</v>
      </c>
      <c r="J42" s="1977"/>
      <c r="K42" s="1965"/>
      <c r="L42" s="123" t="s">
        <v>199</v>
      </c>
      <c r="M42" s="126">
        <v>2.2908200000000001</v>
      </c>
      <c r="N42" s="126">
        <v>2.2261000000000002</v>
      </c>
      <c r="O42" s="126">
        <v>4.351E-2</v>
      </c>
      <c r="P42" s="126">
        <v>2.121E-2</v>
      </c>
      <c r="Y42" s="244" t="s">
        <v>1742</v>
      </c>
      <c r="Z42" s="244">
        <v>0.25</v>
      </c>
      <c r="AA42" s="244" t="str">
        <f t="shared" si="4"/>
        <v>Nitrous Oxide|0.25</v>
      </c>
      <c r="AB42" s="244" t="s">
        <v>1822</v>
      </c>
      <c r="AP42" s="159" t="s">
        <v>767</v>
      </c>
      <c r="AQ42" s="158" t="s">
        <v>753</v>
      </c>
      <c r="AR42" s="164" t="str">
        <f t="shared" si="5"/>
        <v>Short-haul-Business class|miles</v>
      </c>
      <c r="AS42" s="299" t="s">
        <v>1724</v>
      </c>
      <c r="AT42" s="299" t="s">
        <v>1724</v>
      </c>
      <c r="AU42" s="299" t="s">
        <v>1724</v>
      </c>
      <c r="AV42" s="299" t="s">
        <v>1724</v>
      </c>
      <c r="BW42" s="158" t="s">
        <v>733</v>
      </c>
      <c r="BX42" s="158" t="s">
        <v>715</v>
      </c>
      <c r="BY42" s="158" t="str">
        <f t="shared" si="6"/>
        <v>Motorbike medium|Diesel</v>
      </c>
      <c r="BZ42" s="379" t="s">
        <v>1818</v>
      </c>
      <c r="CA42" s="379" t="s">
        <v>1818</v>
      </c>
      <c r="CB42" s="379" t="s">
        <v>1818</v>
      </c>
      <c r="CC42" s="379" t="s">
        <v>1818</v>
      </c>
      <c r="CE42" s="1963"/>
      <c r="CF42" s="1963" t="s">
        <v>1777</v>
      </c>
      <c r="CG42" s="123" t="s">
        <v>197</v>
      </c>
      <c r="CH42" s="336">
        <v>0.64168000000000003</v>
      </c>
      <c r="CI42" s="336">
        <v>0.63453000000000004</v>
      </c>
      <c r="CJ42" s="336">
        <v>1.2E-4</v>
      </c>
      <c r="CK42" s="336">
        <v>7.0400000000000003E-3</v>
      </c>
      <c r="CL42" s="336">
        <v>0.73233000000000004</v>
      </c>
      <c r="CM42" s="336">
        <v>0.72516999999999998</v>
      </c>
      <c r="CN42" s="336">
        <v>1.2E-4</v>
      </c>
      <c r="CO42" s="336">
        <v>7.0400000000000003E-3</v>
      </c>
      <c r="CP42" s="336">
        <v>0.82298000000000004</v>
      </c>
      <c r="CQ42" s="336">
        <v>0.81581999999999999</v>
      </c>
      <c r="CR42" s="336">
        <v>1.2E-4</v>
      </c>
      <c r="CS42" s="342">
        <v>7.0400000000000003E-3</v>
      </c>
      <c r="CT42" s="352">
        <v>0.70150999999999997</v>
      </c>
      <c r="CU42" s="352">
        <v>0.69435000000000002</v>
      </c>
      <c r="CV42" s="352">
        <v>1.2E-4</v>
      </c>
      <c r="CW42" s="352">
        <v>7.0400000000000003E-3</v>
      </c>
      <c r="CX42" s="348"/>
      <c r="DK42" s="1967"/>
      <c r="DL42" s="1388" t="s">
        <v>917</v>
      </c>
      <c r="DM42" s="1389">
        <f t="shared" si="71"/>
        <v>2088</v>
      </c>
      <c r="DO42" s="1968"/>
      <c r="DP42" s="123" t="s">
        <v>913</v>
      </c>
      <c r="DQ42" s="123" t="s">
        <v>202</v>
      </c>
      <c r="DR42" s="388">
        <v>2107</v>
      </c>
      <c r="EG42" s="159" t="s">
        <v>732</v>
      </c>
      <c r="EH42" s="158" t="s">
        <v>715</v>
      </c>
      <c r="EI42" s="163" t="s">
        <v>197</v>
      </c>
      <c r="EJ42" s="163" t="str">
        <f t="shared" ref="EJ42:EJ46" si="80">EG42&amp;"|"&amp;EH42 &amp;"|"&amp;EI42</f>
        <v>Motorbike small|Diesel|km</v>
      </c>
      <c r="EK42" s="378" t="s">
        <v>1823</v>
      </c>
      <c r="EL42" s="378" t="s">
        <v>1823</v>
      </c>
      <c r="EM42" s="378" t="s">
        <v>1823</v>
      </c>
      <c r="EN42" s="378" t="s">
        <v>1823</v>
      </c>
      <c r="EP42" s="1994"/>
      <c r="EQ42" s="1968" t="s">
        <v>1803</v>
      </c>
      <c r="ER42" s="123" t="s">
        <v>1093</v>
      </c>
      <c r="ES42" s="486"/>
      <c r="ET42" s="486"/>
      <c r="EU42" s="486"/>
      <c r="EV42" s="486"/>
      <c r="EW42" s="487">
        <v>9.4030000000000002E-2</v>
      </c>
      <c r="EX42" s="487">
        <v>9.2289999999999997E-2</v>
      </c>
      <c r="EY42" s="487">
        <v>1.0000000000000001E-5</v>
      </c>
      <c r="EZ42" s="487">
        <v>1.73E-3</v>
      </c>
      <c r="FA42" s="487">
        <v>6.7669999999999994E-2</v>
      </c>
      <c r="FB42" s="487">
        <v>6.6790000000000002E-2</v>
      </c>
      <c r="FC42" s="487">
        <v>1.0000000000000001E-5</v>
      </c>
      <c r="FD42" s="487">
        <v>8.5999999999999998E-4</v>
      </c>
      <c r="FE42" s="487">
        <v>9.1869999999999993E-2</v>
      </c>
      <c r="FF42" s="487">
        <v>9.0480000000000005E-2</v>
      </c>
      <c r="FG42" s="487">
        <v>1.0000000000000001E-5</v>
      </c>
      <c r="FH42" s="487">
        <v>1.3699999999999999E-3</v>
      </c>
    </row>
    <row r="43" spans="1:164" ht="15" customHeight="1" x14ac:dyDescent="0.35">
      <c r="A43" s="1979" t="s">
        <v>250</v>
      </c>
      <c r="B43" s="158" t="s">
        <v>565</v>
      </c>
      <c r="C43" s="159" t="s">
        <v>563</v>
      </c>
      <c r="D43" s="159" t="str">
        <f t="shared" si="73"/>
        <v>Coal|Kilowatt hours (KWh)</v>
      </c>
      <c r="E43" s="1276">
        <f>M120</f>
        <v>0.34461999999999998</v>
      </c>
      <c r="F43" s="1276">
        <f>N120</f>
        <v>0.31458999999999998</v>
      </c>
      <c r="G43" s="1276">
        <f>O120</f>
        <v>2.5649999999999999E-2</v>
      </c>
      <c r="H43" s="1276">
        <f>P120</f>
        <v>4.3800000000000002E-3</v>
      </c>
      <c r="J43" s="1977"/>
      <c r="K43" s="1965"/>
      <c r="L43" s="123" t="s">
        <v>1733</v>
      </c>
      <c r="M43" s="126">
        <v>0.25805</v>
      </c>
      <c r="N43" s="126">
        <v>0.25075999999999998</v>
      </c>
      <c r="O43" s="126">
        <v>4.8999999999999998E-3</v>
      </c>
      <c r="P43" s="126">
        <v>2.3900000000000002E-3</v>
      </c>
      <c r="Y43" s="244" t="s">
        <v>1742</v>
      </c>
      <c r="Z43" s="244">
        <v>0.24</v>
      </c>
      <c r="AA43" s="244" t="str">
        <f t="shared" si="4"/>
        <v>Nitrous Oxide|0.24</v>
      </c>
      <c r="AB43" s="244" t="s">
        <v>1822</v>
      </c>
      <c r="AP43" s="159" t="s">
        <v>768</v>
      </c>
      <c r="AQ43" s="158" t="s">
        <v>751</v>
      </c>
      <c r="AR43" s="164" t="str">
        <f t="shared" si="5"/>
        <v>Ferry-Foot|passenger.km</v>
      </c>
      <c r="AS43" s="300">
        <f>BJ8</f>
        <v>1.8737999999999998E-2</v>
      </c>
      <c r="AT43" s="300">
        <f t="shared" ref="AT43:AV43" si="81">BK8</f>
        <v>1.848E-2</v>
      </c>
      <c r="AU43" s="300">
        <f t="shared" si="81"/>
        <v>6.0000000000000002E-6</v>
      </c>
      <c r="AV43" s="300">
        <f t="shared" si="81"/>
        <v>2.52E-4</v>
      </c>
      <c r="BW43" s="158" t="s">
        <v>734</v>
      </c>
      <c r="BX43" s="158" t="s">
        <v>713</v>
      </c>
      <c r="BY43" s="158" t="str">
        <f t="shared" si="6"/>
        <v>Motorbike large|Petrol</v>
      </c>
      <c r="BZ43" s="379">
        <f>DB24</f>
        <v>0.13236999999999999</v>
      </c>
      <c r="CA43" s="379">
        <f t="shared" ref="CA43:CC43" si="82">DC24</f>
        <v>0.13058</v>
      </c>
      <c r="CB43" s="379">
        <f t="shared" si="82"/>
        <v>1.1900000000000001E-3</v>
      </c>
      <c r="CC43" s="379">
        <f t="shared" si="82"/>
        <v>5.9999999999999995E-4</v>
      </c>
      <c r="CE43" s="1963"/>
      <c r="CF43" s="1963"/>
      <c r="CG43" s="123" t="s">
        <v>753</v>
      </c>
      <c r="CH43" s="336">
        <v>1.0326900000000001</v>
      </c>
      <c r="CI43" s="336">
        <v>1.0211699999999999</v>
      </c>
      <c r="CJ43" s="336">
        <v>1.9000000000000001E-4</v>
      </c>
      <c r="CK43" s="336">
        <v>1.133E-2</v>
      </c>
      <c r="CL43" s="336">
        <v>1.1785699999999999</v>
      </c>
      <c r="CM43" s="336">
        <v>1.1670499999999999</v>
      </c>
      <c r="CN43" s="336">
        <v>1.9000000000000001E-4</v>
      </c>
      <c r="CO43" s="336">
        <v>1.133E-2</v>
      </c>
      <c r="CP43" s="336">
        <v>1.3244499999999999</v>
      </c>
      <c r="CQ43" s="336">
        <v>1.3129299999999999</v>
      </c>
      <c r="CR43" s="336">
        <v>1.9000000000000001E-4</v>
      </c>
      <c r="CS43" s="342">
        <v>1.133E-2</v>
      </c>
      <c r="CT43" s="352">
        <v>1.12897</v>
      </c>
      <c r="CU43" s="352">
        <v>1.1174500000000001</v>
      </c>
      <c r="CV43" s="352">
        <v>1.9000000000000001E-4</v>
      </c>
      <c r="CW43" s="352">
        <v>1.133E-2</v>
      </c>
      <c r="CX43" s="348"/>
      <c r="DK43" s="1967"/>
      <c r="DL43" s="1388" t="s">
        <v>918</v>
      </c>
      <c r="DM43" s="1389">
        <f t="shared" si="71"/>
        <v>3985</v>
      </c>
      <c r="DO43" s="1968"/>
      <c r="DP43" s="123" t="s">
        <v>914</v>
      </c>
      <c r="DQ43" s="123" t="s">
        <v>202</v>
      </c>
      <c r="DR43" s="388">
        <v>1774</v>
      </c>
      <c r="EG43" s="158" t="s">
        <v>733</v>
      </c>
      <c r="EH43" s="163" t="s">
        <v>713</v>
      </c>
      <c r="EI43" s="163" t="s">
        <v>197</v>
      </c>
      <c r="EJ43" s="163" t="str">
        <f t="shared" si="80"/>
        <v>Motorbike medium|Petrol|km</v>
      </c>
      <c r="EK43" s="378">
        <f>DB22</f>
        <v>0.10086000000000001</v>
      </c>
      <c r="EL43" s="378">
        <f t="shared" ref="EL43:EN43" si="83">DC22</f>
        <v>9.8159999999999997E-2</v>
      </c>
      <c r="EM43" s="378">
        <f t="shared" si="83"/>
        <v>2.0999999999999999E-3</v>
      </c>
      <c r="EN43" s="378">
        <f t="shared" si="83"/>
        <v>5.9999999999999995E-4</v>
      </c>
      <c r="EP43" s="1994"/>
      <c r="EQ43" s="1968"/>
      <c r="ER43" s="123" t="s">
        <v>197</v>
      </c>
      <c r="ES43" s="487">
        <v>0.65190999999999999</v>
      </c>
      <c r="ET43" s="487">
        <v>0.63597000000000004</v>
      </c>
      <c r="EU43" s="487">
        <v>1.1E-4</v>
      </c>
      <c r="EV43" s="487">
        <v>1.583E-2</v>
      </c>
      <c r="EW43" s="487">
        <v>0.86104999999999998</v>
      </c>
      <c r="EX43" s="487">
        <v>0.84511000000000003</v>
      </c>
      <c r="EY43" s="487">
        <v>1.1E-4</v>
      </c>
      <c r="EZ43" s="487">
        <v>1.583E-2</v>
      </c>
      <c r="FA43" s="487">
        <v>1.23929</v>
      </c>
      <c r="FB43" s="487">
        <v>1.2233499999999999</v>
      </c>
      <c r="FC43" s="487">
        <v>1.1E-4</v>
      </c>
      <c r="FD43" s="487">
        <v>1.583E-2</v>
      </c>
      <c r="FE43" s="487">
        <v>1.06</v>
      </c>
      <c r="FF43" s="487">
        <v>1.04406</v>
      </c>
      <c r="FG43" s="487">
        <v>1.1E-4</v>
      </c>
      <c r="FH43" s="487">
        <v>1.583E-2</v>
      </c>
    </row>
    <row r="44" spans="1:164" ht="15" customHeight="1" x14ac:dyDescent="0.35">
      <c r="A44" s="1979"/>
      <c r="B44" s="158" t="s">
        <v>565</v>
      </c>
      <c r="C44" s="159" t="s">
        <v>575</v>
      </c>
      <c r="D44" s="159" t="str">
        <f t="shared" si="73"/>
        <v>Coal|Litres (l)</v>
      </c>
      <c r="E44" s="169" t="s">
        <v>1824</v>
      </c>
      <c r="F44" s="169" t="s">
        <v>1824</v>
      </c>
      <c r="G44" s="169" t="s">
        <v>1824</v>
      </c>
      <c r="H44" s="169" t="s">
        <v>1824</v>
      </c>
      <c r="J44" s="1977"/>
      <c r="K44" s="1966"/>
      <c r="L44" s="123" t="s">
        <v>1737</v>
      </c>
      <c r="M44" s="126">
        <v>0.24514</v>
      </c>
      <c r="N44" s="126">
        <v>0.23821999999999999</v>
      </c>
      <c r="O44" s="126">
        <v>4.6600000000000001E-3</v>
      </c>
      <c r="P44" s="126">
        <v>2.2699999999999999E-3</v>
      </c>
      <c r="Y44" s="244" t="s">
        <v>1742</v>
      </c>
      <c r="Z44" s="244">
        <v>0.2</v>
      </c>
      <c r="AA44" s="244" t="str">
        <f t="shared" si="4"/>
        <v>Nitrous Oxide|0.2</v>
      </c>
      <c r="AB44" s="244" t="s">
        <v>1822</v>
      </c>
      <c r="AP44" s="159" t="s">
        <v>768</v>
      </c>
      <c r="AQ44" s="158" t="s">
        <v>197</v>
      </c>
      <c r="AR44" s="164" t="str">
        <f t="shared" si="5"/>
        <v>Ferry-Foot|km</v>
      </c>
      <c r="AS44" s="299" t="s">
        <v>1724</v>
      </c>
      <c r="AT44" s="299" t="s">
        <v>1724</v>
      </c>
      <c r="AU44" s="299" t="s">
        <v>1724</v>
      </c>
      <c r="AV44" s="299" t="s">
        <v>1724</v>
      </c>
      <c r="BW44" s="158" t="s">
        <v>734</v>
      </c>
      <c r="BX44" s="158" t="s">
        <v>715</v>
      </c>
      <c r="BY44" s="158" t="str">
        <f t="shared" si="6"/>
        <v>Motorbike large|Diesel</v>
      </c>
      <c r="BZ44" s="379" t="s">
        <v>1818</v>
      </c>
      <c r="CA44" s="379" t="s">
        <v>1818</v>
      </c>
      <c r="CB44" s="379" t="s">
        <v>1818</v>
      </c>
      <c r="CC44" s="379" t="s">
        <v>1818</v>
      </c>
      <c r="CE44" s="1963"/>
      <c r="CF44" s="1963" t="s">
        <v>1783</v>
      </c>
      <c r="CG44" s="123" t="s">
        <v>197</v>
      </c>
      <c r="CH44" s="336">
        <v>0.92142999999999997</v>
      </c>
      <c r="CI44" s="336">
        <v>0.90969999999999995</v>
      </c>
      <c r="CJ44" s="336">
        <v>1.9000000000000001E-4</v>
      </c>
      <c r="CK44" s="336">
        <v>1.153E-2</v>
      </c>
      <c r="CL44" s="336">
        <v>1.1211199999999999</v>
      </c>
      <c r="CM44" s="336">
        <v>1.1093900000000001</v>
      </c>
      <c r="CN44" s="336">
        <v>1.9000000000000001E-4</v>
      </c>
      <c r="CO44" s="336">
        <v>1.153E-2</v>
      </c>
      <c r="CP44" s="336">
        <v>1.32081</v>
      </c>
      <c r="CQ44" s="336">
        <v>1.30908</v>
      </c>
      <c r="CR44" s="336">
        <v>1.9000000000000001E-4</v>
      </c>
      <c r="CS44" s="342">
        <v>1.153E-2</v>
      </c>
      <c r="CT44" s="352">
        <v>1.14798</v>
      </c>
      <c r="CU44" s="352">
        <v>1.13625</v>
      </c>
      <c r="CV44" s="352">
        <v>1.9000000000000001E-4</v>
      </c>
      <c r="CW44" s="352">
        <v>1.153E-2</v>
      </c>
      <c r="CX44" s="348"/>
      <c r="DK44" s="1967"/>
      <c r="DL44" s="1388" t="s">
        <v>919</v>
      </c>
      <c r="DM44" s="1389">
        <f t="shared" si="71"/>
        <v>13396</v>
      </c>
      <c r="DO44" s="1968"/>
      <c r="DP44" s="123" t="s">
        <v>915</v>
      </c>
      <c r="DQ44" s="123" t="s">
        <v>202</v>
      </c>
      <c r="DR44" s="388">
        <v>1825</v>
      </c>
      <c r="EG44" s="158" t="s">
        <v>733</v>
      </c>
      <c r="EH44" s="158" t="s">
        <v>715</v>
      </c>
      <c r="EI44" s="163" t="s">
        <v>197</v>
      </c>
      <c r="EJ44" s="163" t="str">
        <f t="shared" si="80"/>
        <v>Motorbike medium|Diesel|km</v>
      </c>
      <c r="EK44" s="378" t="s">
        <v>1823</v>
      </c>
      <c r="EL44" s="378" t="s">
        <v>1823</v>
      </c>
      <c r="EM44" s="378" t="s">
        <v>1823</v>
      </c>
      <c r="EN44" s="378" t="s">
        <v>1823</v>
      </c>
      <c r="EP44" s="1994"/>
      <c r="EQ44" s="1968"/>
      <c r="ER44" s="123" t="s">
        <v>753</v>
      </c>
      <c r="ES44" s="487">
        <v>1.04915</v>
      </c>
      <c r="ET44" s="487">
        <v>1.02349</v>
      </c>
      <c r="EU44" s="487">
        <v>1.8000000000000001E-4</v>
      </c>
      <c r="EV44" s="487">
        <v>2.547E-2</v>
      </c>
      <c r="EW44" s="487">
        <v>1.3857299999999999</v>
      </c>
      <c r="EX44" s="487">
        <v>1.36008</v>
      </c>
      <c r="EY44" s="487">
        <v>1.8000000000000001E-4</v>
      </c>
      <c r="EZ44" s="487">
        <v>2.547E-2</v>
      </c>
      <c r="FA44" s="487">
        <v>1.99444</v>
      </c>
      <c r="FB44" s="487">
        <v>1.96879</v>
      </c>
      <c r="FC44" s="487">
        <v>1.8000000000000001E-4</v>
      </c>
      <c r="FD44" s="487">
        <v>2.547E-2</v>
      </c>
      <c r="FE44" s="487">
        <v>1.7059</v>
      </c>
      <c r="FF44" s="487">
        <v>1.68024</v>
      </c>
      <c r="FG44" s="487">
        <v>1.8000000000000001E-4</v>
      </c>
      <c r="FH44" s="487">
        <v>2.547E-2</v>
      </c>
    </row>
    <row r="45" spans="1:164" x14ac:dyDescent="0.35">
      <c r="A45" s="1979"/>
      <c r="B45" s="158" t="s">
        <v>565</v>
      </c>
      <c r="C45" s="159" t="s">
        <v>569</v>
      </c>
      <c r="D45" s="159" t="str">
        <f t="shared" si="73"/>
        <v>Coal|Kilograms (kg)</v>
      </c>
      <c r="E45" s="169">
        <f>M118/1000</f>
        <v>2.8832600000000004</v>
      </c>
      <c r="F45" s="169">
        <f>N118/1000</f>
        <v>2.6320000000000001</v>
      </c>
      <c r="G45" s="169">
        <f>O118/1000</f>
        <v>0.21459999999999999</v>
      </c>
      <c r="H45" s="169">
        <f>P118/1000</f>
        <v>3.6659999999999998E-2</v>
      </c>
      <c r="J45" s="1977"/>
      <c r="K45" s="1964" t="s">
        <v>1825</v>
      </c>
      <c r="L45" s="123" t="s">
        <v>316</v>
      </c>
      <c r="M45" s="131">
        <v>3181.41</v>
      </c>
      <c r="N45" s="131">
        <v>3149.67</v>
      </c>
      <c r="O45" s="131">
        <v>1.95</v>
      </c>
      <c r="P45" s="131">
        <v>29.8</v>
      </c>
      <c r="Y45" s="244" t="s">
        <v>1742</v>
      </c>
      <c r="Z45" s="244">
        <v>0.125</v>
      </c>
      <c r="AA45" s="244" t="str">
        <f t="shared" si="4"/>
        <v>Nitrous Oxide|0.125</v>
      </c>
      <c r="AB45" s="244" t="s">
        <v>1822</v>
      </c>
      <c r="AP45" s="159" t="s">
        <v>768</v>
      </c>
      <c r="AQ45" s="158" t="s">
        <v>753</v>
      </c>
      <c r="AR45" s="164" t="str">
        <f t="shared" si="5"/>
        <v>Ferry-Foot|miles</v>
      </c>
      <c r="AS45" s="299" t="s">
        <v>1724</v>
      </c>
      <c r="AT45" s="299" t="s">
        <v>1724</v>
      </c>
      <c r="AU45" s="299" t="s">
        <v>1724</v>
      </c>
      <c r="AV45" s="299" t="s">
        <v>1724</v>
      </c>
      <c r="CE45" s="1963"/>
      <c r="CF45" s="1963"/>
      <c r="CG45" s="123" t="s">
        <v>753</v>
      </c>
      <c r="CH45" s="336">
        <v>1.48289</v>
      </c>
      <c r="CI45" s="336">
        <v>1.4640200000000001</v>
      </c>
      <c r="CJ45" s="336">
        <v>3.1E-4</v>
      </c>
      <c r="CK45" s="336">
        <v>1.856E-2</v>
      </c>
      <c r="CL45" s="336">
        <v>1.80426</v>
      </c>
      <c r="CM45" s="336">
        <v>1.78539</v>
      </c>
      <c r="CN45" s="336">
        <v>3.1E-4</v>
      </c>
      <c r="CO45" s="336">
        <v>1.856E-2</v>
      </c>
      <c r="CP45" s="336">
        <v>2.1256400000000002</v>
      </c>
      <c r="CQ45" s="336">
        <v>2.10676</v>
      </c>
      <c r="CR45" s="336">
        <v>3.1E-4</v>
      </c>
      <c r="CS45" s="342">
        <v>1.856E-2</v>
      </c>
      <c r="CT45" s="352">
        <v>1.8474900000000001</v>
      </c>
      <c r="CU45" s="352">
        <v>1.8286100000000001</v>
      </c>
      <c r="CV45" s="352">
        <v>3.1E-4</v>
      </c>
      <c r="CW45" s="352">
        <v>1.856E-2</v>
      </c>
      <c r="CX45" s="348"/>
      <c r="DK45" s="1967"/>
      <c r="DL45" s="1388" t="s">
        <v>920</v>
      </c>
      <c r="DM45" s="1389">
        <f t="shared" si="71"/>
        <v>3124</v>
      </c>
      <c r="DO45" s="1968"/>
      <c r="DP45" s="123" t="s">
        <v>916</v>
      </c>
      <c r="DQ45" s="123" t="s">
        <v>202</v>
      </c>
      <c r="DR45" s="388">
        <v>3152</v>
      </c>
      <c r="EG45" s="158" t="s">
        <v>734</v>
      </c>
      <c r="EH45" s="158" t="s">
        <v>713</v>
      </c>
      <c r="EI45" s="158" t="s">
        <v>197</v>
      </c>
      <c r="EJ45" s="158" t="str">
        <f t="shared" si="80"/>
        <v>Motorbike large|Petrol|km</v>
      </c>
      <c r="EK45" s="378">
        <f>DB24</f>
        <v>0.13236999999999999</v>
      </c>
      <c r="EL45" s="378">
        <f t="shared" ref="EL45:EN45" si="84">DC24</f>
        <v>0.13058</v>
      </c>
      <c r="EM45" s="378">
        <f t="shared" si="84"/>
        <v>1.1900000000000001E-3</v>
      </c>
      <c r="EN45" s="378">
        <f t="shared" si="84"/>
        <v>5.9999999999999995E-4</v>
      </c>
      <c r="EP45" s="1994"/>
      <c r="EQ45" s="1968" t="s">
        <v>1808</v>
      </c>
      <c r="ER45" s="123" t="s">
        <v>1093</v>
      </c>
      <c r="ES45" s="486"/>
      <c r="ET45" s="486"/>
      <c r="EU45" s="486"/>
      <c r="EV45" s="486"/>
      <c r="EW45" s="487">
        <v>0.12464</v>
      </c>
      <c r="EX45" s="487">
        <v>0.12266000000000001</v>
      </c>
      <c r="EY45" s="487">
        <v>2.0000000000000002E-5</v>
      </c>
      <c r="EZ45" s="487">
        <v>1.9599999999999999E-3</v>
      </c>
      <c r="FA45" s="487">
        <v>8.8200000000000001E-2</v>
      </c>
      <c r="FB45" s="487">
        <v>8.7209999999999996E-2</v>
      </c>
      <c r="FC45" s="487">
        <v>1.0000000000000001E-5</v>
      </c>
      <c r="FD45" s="487">
        <v>9.7999999999999997E-4</v>
      </c>
      <c r="FE45" s="487">
        <v>0.12481</v>
      </c>
      <c r="FF45" s="487">
        <v>0.12318</v>
      </c>
      <c r="FG45" s="487">
        <v>2.0000000000000002E-5</v>
      </c>
      <c r="FH45" s="487">
        <v>1.6100000000000001E-3</v>
      </c>
    </row>
    <row r="46" spans="1:164" ht="16.5" x14ac:dyDescent="0.35">
      <c r="A46" s="1979"/>
      <c r="B46" s="158" t="s">
        <v>565</v>
      </c>
      <c r="C46" s="161" t="s">
        <v>581</v>
      </c>
      <c r="D46" s="159" t="str">
        <f t="shared" si="73"/>
        <v>Coal|Cubic metres (m3)</v>
      </c>
      <c r="E46" s="169">
        <f>E45*'Fuel properties'!G16</f>
        <v>2450.7710000000002</v>
      </c>
      <c r="F46" s="169">
        <f>F45*'Fuel properties'!G16</f>
        <v>2237.2000000000003</v>
      </c>
      <c r="G46" s="169">
        <f>G45*'Fuel properties'!G16</f>
        <v>182.41</v>
      </c>
      <c r="H46" s="169">
        <f>H45*'Fuel properties'!G16</f>
        <v>31.160999999999998</v>
      </c>
      <c r="J46" s="1977"/>
      <c r="K46" s="1965"/>
      <c r="L46" s="123" t="s">
        <v>199</v>
      </c>
      <c r="M46" s="126">
        <v>2.5430999999999999</v>
      </c>
      <c r="N46" s="126">
        <v>2.5177200000000002</v>
      </c>
      <c r="O46" s="126">
        <v>1.56E-3</v>
      </c>
      <c r="P46" s="126">
        <v>2.3820000000000001E-2</v>
      </c>
      <c r="Y46" s="244" t="s">
        <v>1742</v>
      </c>
      <c r="Z46" s="244">
        <v>0.1</v>
      </c>
      <c r="AA46" s="244" t="str">
        <f t="shared" si="4"/>
        <v>Nitrous Oxide|0.1</v>
      </c>
      <c r="AB46" s="244" t="s">
        <v>1822</v>
      </c>
      <c r="AP46" s="159" t="s">
        <v>769</v>
      </c>
      <c r="AQ46" s="158" t="s">
        <v>751</v>
      </c>
      <c r="AR46" s="164" t="str">
        <f t="shared" si="5"/>
        <v>Ferry-car|passenger.km</v>
      </c>
      <c r="AS46" s="300">
        <f>BJ9</f>
        <v>0.129519</v>
      </c>
      <c r="AT46" s="300">
        <f t="shared" ref="AT46:AV46" si="85">BK9</f>
        <v>0.12773899999999999</v>
      </c>
      <c r="AU46" s="300">
        <f t="shared" si="85"/>
        <v>3.8999999999999999E-5</v>
      </c>
      <c r="AV46" s="300">
        <f t="shared" si="85"/>
        <v>1.7409999999999999E-3</v>
      </c>
      <c r="CE46" s="1963"/>
      <c r="CF46" s="1963" t="s">
        <v>1788</v>
      </c>
      <c r="CG46" s="123" t="s">
        <v>197</v>
      </c>
      <c r="CH46" s="336">
        <v>0.79257999999999995</v>
      </c>
      <c r="CI46" s="336">
        <v>0.78283999999999998</v>
      </c>
      <c r="CJ46" s="336">
        <v>1.6000000000000001E-4</v>
      </c>
      <c r="CK46" s="336">
        <v>9.58E-3</v>
      </c>
      <c r="CL46" s="336">
        <v>0.94135000000000002</v>
      </c>
      <c r="CM46" s="336">
        <v>0.93161000000000005</v>
      </c>
      <c r="CN46" s="336">
        <v>1.6000000000000001E-4</v>
      </c>
      <c r="CO46" s="336">
        <v>9.58E-3</v>
      </c>
      <c r="CP46" s="336">
        <v>1.09012</v>
      </c>
      <c r="CQ46" s="336">
        <v>1.0803799999999999</v>
      </c>
      <c r="CR46" s="336">
        <v>1.6000000000000001E-4</v>
      </c>
      <c r="CS46" s="342">
        <v>9.58E-3</v>
      </c>
      <c r="CT46" s="352">
        <v>0.95369999999999999</v>
      </c>
      <c r="CU46" s="352">
        <v>0.94396000000000002</v>
      </c>
      <c r="CV46" s="352">
        <v>1.6000000000000001E-4</v>
      </c>
      <c r="CW46" s="352">
        <v>9.58E-3</v>
      </c>
      <c r="CX46" s="348"/>
      <c r="DK46" s="1967" t="s">
        <v>1826</v>
      </c>
      <c r="DL46" s="1388" t="s">
        <v>921</v>
      </c>
      <c r="DM46" s="1389">
        <f>DR54</f>
        <v>4750</v>
      </c>
      <c r="DO46" s="1968"/>
      <c r="DP46" s="123" t="s">
        <v>917</v>
      </c>
      <c r="DQ46" s="123" t="s">
        <v>202</v>
      </c>
      <c r="DR46" s="388">
        <v>2088</v>
      </c>
      <c r="EG46" s="158" t="s">
        <v>734</v>
      </c>
      <c r="EH46" s="158" t="s">
        <v>715</v>
      </c>
      <c r="EI46" s="158" t="s">
        <v>197</v>
      </c>
      <c r="EJ46" s="158" t="str">
        <f t="shared" si="80"/>
        <v>Motorbike large|Diesel|km</v>
      </c>
      <c r="EK46" s="378" t="s">
        <v>1823</v>
      </c>
      <c r="EL46" s="378" t="s">
        <v>1823</v>
      </c>
      <c r="EM46" s="378" t="s">
        <v>1823</v>
      </c>
      <c r="EN46" s="378" t="s">
        <v>1823</v>
      </c>
      <c r="EP46" s="1994"/>
      <c r="EQ46" s="1968"/>
      <c r="ER46" s="123" t="s">
        <v>197</v>
      </c>
      <c r="ES46" s="487">
        <v>0.65810999999999997</v>
      </c>
      <c r="ET46" s="487">
        <v>0.64488999999999996</v>
      </c>
      <c r="EU46" s="487">
        <v>1.2999999999999999E-4</v>
      </c>
      <c r="EV46" s="487">
        <v>1.308E-2</v>
      </c>
      <c r="EW46" s="487">
        <v>0.83020000000000005</v>
      </c>
      <c r="EX46" s="487">
        <v>0.81698000000000004</v>
      </c>
      <c r="EY46" s="487">
        <v>1.2999999999999999E-4</v>
      </c>
      <c r="EZ46" s="487">
        <v>1.308E-2</v>
      </c>
      <c r="FA46" s="487">
        <v>1.175</v>
      </c>
      <c r="FB46" s="487">
        <v>1.16178</v>
      </c>
      <c r="FC46" s="487">
        <v>1.2999999999999999E-4</v>
      </c>
      <c r="FD46" s="487">
        <v>1.308E-2</v>
      </c>
      <c r="FE46" s="487">
        <v>1.0142</v>
      </c>
      <c r="FF46" s="487">
        <v>1.00099</v>
      </c>
      <c r="FG46" s="487">
        <v>1.2999999999999999E-4</v>
      </c>
      <c r="FH46" s="487">
        <v>1.308E-2</v>
      </c>
    </row>
    <row r="47" spans="1:164" x14ac:dyDescent="0.35">
      <c r="A47" s="1979"/>
      <c r="B47" s="158" t="s">
        <v>571</v>
      </c>
      <c r="C47" s="159" t="s">
        <v>563</v>
      </c>
      <c r="D47" s="159" t="str">
        <f t="shared" si="73"/>
        <v>Wood chips|Kilowatt hours (KWh)</v>
      </c>
      <c r="E47" s="1276">
        <f>U27</f>
        <v>1.545E-2</v>
      </c>
      <c r="F47" s="1276">
        <f t="shared" ref="F47:H47" si="86">V27</f>
        <v>0</v>
      </c>
      <c r="G47" s="1276">
        <f t="shared" si="86"/>
        <v>0</v>
      </c>
      <c r="H47" s="1276">
        <f t="shared" si="86"/>
        <v>0</v>
      </c>
      <c r="J47" s="1977"/>
      <c r="K47" s="1965"/>
      <c r="L47" s="123" t="s">
        <v>1733</v>
      </c>
      <c r="M47" s="126">
        <v>0.26085999999999998</v>
      </c>
      <c r="N47" s="126">
        <v>0.25825999999999999</v>
      </c>
      <c r="O47" s="126">
        <v>1.6000000000000001E-4</v>
      </c>
      <c r="P47" s="126">
        <v>2.4399999999999999E-3</v>
      </c>
      <c r="Y47" s="244" t="s">
        <v>1742</v>
      </c>
      <c r="Z47" s="244">
        <v>0.05</v>
      </c>
      <c r="AA47" s="244" t="str">
        <f t="shared" si="4"/>
        <v>Nitrous Oxide|0.05</v>
      </c>
      <c r="AB47" s="244" t="s">
        <v>1822</v>
      </c>
      <c r="AP47" s="159" t="s">
        <v>769</v>
      </c>
      <c r="AQ47" s="158" t="s">
        <v>197</v>
      </c>
      <c r="AR47" s="164" t="str">
        <f t="shared" si="5"/>
        <v>Ferry-car|km</v>
      </c>
      <c r="AS47" s="299" t="s">
        <v>1724</v>
      </c>
      <c r="AT47" s="299" t="s">
        <v>1724</v>
      </c>
      <c r="AU47" s="299" t="s">
        <v>1724</v>
      </c>
      <c r="AV47" s="299" t="s">
        <v>1724</v>
      </c>
      <c r="CE47" s="1963"/>
      <c r="CF47" s="1963"/>
      <c r="CG47" s="123" t="s">
        <v>753</v>
      </c>
      <c r="CH47" s="336">
        <v>1.2755300000000001</v>
      </c>
      <c r="CI47" s="336">
        <v>1.25986</v>
      </c>
      <c r="CJ47" s="336">
        <v>2.5999999999999998E-4</v>
      </c>
      <c r="CK47" s="336">
        <v>1.542E-2</v>
      </c>
      <c r="CL47" s="336">
        <v>1.51495</v>
      </c>
      <c r="CM47" s="336">
        <v>1.4992799999999999</v>
      </c>
      <c r="CN47" s="336">
        <v>2.5999999999999998E-4</v>
      </c>
      <c r="CO47" s="336">
        <v>1.542E-2</v>
      </c>
      <c r="CP47" s="336">
        <v>1.7543800000000001</v>
      </c>
      <c r="CQ47" s="336">
        <v>1.7386999999999999</v>
      </c>
      <c r="CR47" s="336">
        <v>2.5999999999999998E-4</v>
      </c>
      <c r="CS47" s="342">
        <v>1.542E-2</v>
      </c>
      <c r="CT47" s="352">
        <v>1.5348299999999999</v>
      </c>
      <c r="CU47" s="352">
        <v>1.51915</v>
      </c>
      <c r="CV47" s="352">
        <v>2.5999999999999998E-4</v>
      </c>
      <c r="CW47" s="352">
        <v>1.542E-2</v>
      </c>
      <c r="CX47" s="348"/>
      <c r="DK47" s="1967"/>
      <c r="DL47" s="1388" t="s">
        <v>922</v>
      </c>
      <c r="DM47" s="1389">
        <f t="shared" ref="DM47:DM65" si="87">DR55</f>
        <v>10900</v>
      </c>
      <c r="DO47" s="1968"/>
      <c r="DP47" s="123" t="s">
        <v>918</v>
      </c>
      <c r="DQ47" s="123" t="s">
        <v>202</v>
      </c>
      <c r="DR47" s="388">
        <v>3985</v>
      </c>
      <c r="EP47" s="1994"/>
      <c r="EQ47" s="1968"/>
      <c r="ER47" s="123" t="s">
        <v>753</v>
      </c>
      <c r="ES47" s="487">
        <v>1.0591299999999999</v>
      </c>
      <c r="ET47" s="487">
        <v>1.03786</v>
      </c>
      <c r="EU47" s="487">
        <v>2.2000000000000001E-4</v>
      </c>
      <c r="EV47" s="487">
        <v>2.1059999999999999E-2</v>
      </c>
      <c r="EW47" s="487">
        <v>1.3360799999999999</v>
      </c>
      <c r="EX47" s="487">
        <v>1.31481</v>
      </c>
      <c r="EY47" s="487">
        <v>2.2000000000000001E-4</v>
      </c>
      <c r="EZ47" s="487">
        <v>2.1059999999999999E-2</v>
      </c>
      <c r="FA47" s="487">
        <v>1.8909800000000001</v>
      </c>
      <c r="FB47" s="487">
        <v>1.8696999999999999</v>
      </c>
      <c r="FC47" s="487">
        <v>2.2000000000000001E-4</v>
      </c>
      <c r="FD47" s="487">
        <v>2.1059999999999999E-2</v>
      </c>
      <c r="FE47" s="487">
        <v>1.6322000000000001</v>
      </c>
      <c r="FF47" s="487">
        <v>1.61093</v>
      </c>
      <c r="FG47" s="487">
        <v>2.2000000000000001E-4</v>
      </c>
      <c r="FH47" s="487">
        <v>2.1059999999999999E-2</v>
      </c>
    </row>
    <row r="48" spans="1:164" x14ac:dyDescent="0.35">
      <c r="A48" s="1979"/>
      <c r="B48" s="158" t="s">
        <v>571</v>
      </c>
      <c r="C48" s="159" t="s">
        <v>575</v>
      </c>
      <c r="D48" s="159" t="str">
        <f t="shared" si="73"/>
        <v>Wood chips|Litres (l)</v>
      </c>
      <c r="E48" s="169" t="s">
        <v>1824</v>
      </c>
      <c r="F48" s="169" t="s">
        <v>1824</v>
      </c>
      <c r="G48" s="169" t="s">
        <v>1824</v>
      </c>
      <c r="H48" s="169" t="s">
        <v>1824</v>
      </c>
      <c r="J48" s="1977"/>
      <c r="K48" s="1966"/>
      <c r="L48" s="123" t="s">
        <v>1737</v>
      </c>
      <c r="M48" s="126">
        <v>0.24782000000000001</v>
      </c>
      <c r="N48" s="126">
        <v>0.24535000000000001</v>
      </c>
      <c r="O48" s="126">
        <v>1.4999999999999999E-4</v>
      </c>
      <c r="P48" s="126">
        <v>2.32E-3</v>
      </c>
      <c r="Y48" s="244" t="s">
        <v>1742</v>
      </c>
      <c r="Z48" s="244">
        <v>0.03</v>
      </c>
      <c r="AA48" s="244" t="str">
        <f t="shared" si="4"/>
        <v>Nitrous Oxide|0.03</v>
      </c>
      <c r="AB48" s="244" t="s">
        <v>1822</v>
      </c>
      <c r="AP48" s="159" t="s">
        <v>769</v>
      </c>
      <c r="AQ48" s="158" t="s">
        <v>753</v>
      </c>
      <c r="AR48" s="164" t="str">
        <f t="shared" si="5"/>
        <v>Ferry-car|miles</v>
      </c>
      <c r="AS48" s="299" t="s">
        <v>1724</v>
      </c>
      <c r="AT48" s="299" t="s">
        <v>1724</v>
      </c>
      <c r="AU48" s="299" t="s">
        <v>1724</v>
      </c>
      <c r="AV48" s="299" t="s">
        <v>1724</v>
      </c>
      <c r="CE48" s="1963"/>
      <c r="CF48" s="1963" t="s">
        <v>1795</v>
      </c>
      <c r="CG48" s="123" t="s">
        <v>197</v>
      </c>
      <c r="CH48" s="336">
        <v>0.74751999999999996</v>
      </c>
      <c r="CI48" s="336">
        <v>0.73401000000000005</v>
      </c>
      <c r="CJ48" s="336">
        <v>1E-4</v>
      </c>
      <c r="CK48" s="336">
        <v>1.341E-2</v>
      </c>
      <c r="CL48" s="336">
        <v>0.93101999999999996</v>
      </c>
      <c r="CM48" s="336">
        <v>0.91751000000000005</v>
      </c>
      <c r="CN48" s="336">
        <v>1E-4</v>
      </c>
      <c r="CO48" s="336">
        <v>1.341E-2</v>
      </c>
      <c r="CP48" s="336">
        <v>1.11453</v>
      </c>
      <c r="CQ48" s="336">
        <v>1.1010200000000001</v>
      </c>
      <c r="CR48" s="336">
        <v>1E-4</v>
      </c>
      <c r="CS48" s="342">
        <v>1.341E-2</v>
      </c>
      <c r="CT48" s="352">
        <v>0.89798999999999995</v>
      </c>
      <c r="CU48" s="352">
        <v>0.88448000000000004</v>
      </c>
      <c r="CV48" s="352">
        <v>1E-4</v>
      </c>
      <c r="CW48" s="352">
        <v>1.341E-2</v>
      </c>
      <c r="CX48" s="348"/>
      <c r="DK48" s="1967"/>
      <c r="DL48" s="1388" t="s">
        <v>923</v>
      </c>
      <c r="DM48" s="1389">
        <f t="shared" si="87"/>
        <v>14400</v>
      </c>
      <c r="DO48" s="1968"/>
      <c r="DP48" s="123" t="s">
        <v>919</v>
      </c>
      <c r="DQ48" s="123" t="s">
        <v>202</v>
      </c>
      <c r="DR48" s="388">
        <v>13396</v>
      </c>
      <c r="EP48" s="493"/>
      <c r="EQ48" s="494"/>
      <c r="ER48" s="345"/>
      <c r="ES48" s="345"/>
      <c r="ET48" s="345"/>
      <c r="EU48" s="345"/>
      <c r="EV48" s="345"/>
      <c r="EW48" s="345"/>
      <c r="EX48" s="345"/>
      <c r="EY48" s="345"/>
      <c r="EZ48" s="345"/>
    </row>
    <row r="49" spans="1:164" x14ac:dyDescent="0.35">
      <c r="A49" s="1979"/>
      <c r="B49" s="158" t="s">
        <v>571</v>
      </c>
      <c r="C49" s="159" t="s">
        <v>569</v>
      </c>
      <c r="D49" s="159" t="str">
        <f t="shared" si="73"/>
        <v>Wood chips|Kilograms (kg)</v>
      </c>
      <c r="E49" s="1275">
        <f>U26/1000</f>
        <v>5.8352719999999997E-2</v>
      </c>
      <c r="F49" s="1275">
        <f t="shared" ref="F49:H49" si="88">V26/1000</f>
        <v>0</v>
      </c>
      <c r="G49" s="1275">
        <f t="shared" si="88"/>
        <v>0</v>
      </c>
      <c r="H49" s="1275">
        <f t="shared" si="88"/>
        <v>0</v>
      </c>
      <c r="J49" s="1977"/>
      <c r="K49" s="1980" t="s">
        <v>1827</v>
      </c>
      <c r="L49" s="123" t="s">
        <v>316</v>
      </c>
      <c r="M49" s="131">
        <v>3165.32</v>
      </c>
      <c r="N49" s="131">
        <v>3149.67</v>
      </c>
      <c r="O49" s="131">
        <v>7.81</v>
      </c>
      <c r="P49" s="131">
        <v>7.85</v>
      </c>
      <c r="Y49" s="244" t="s">
        <v>1742</v>
      </c>
      <c r="Z49" s="732" t="s">
        <v>823</v>
      </c>
      <c r="AA49" s="244" t="str">
        <f t="shared" si="4"/>
        <v>Nitrous Oxide|Size D Nitrous</v>
      </c>
      <c r="AB49" s="245">
        <v>1.78</v>
      </c>
      <c r="AP49" s="159" t="s">
        <v>770</v>
      </c>
      <c r="AQ49" s="158" t="s">
        <v>751</v>
      </c>
      <c r="AR49" s="164" t="str">
        <f t="shared" si="5"/>
        <v>Ferry-average|passenger.km</v>
      </c>
      <c r="AS49" s="300">
        <f>BJ10</f>
        <v>0.11286400000000001</v>
      </c>
      <c r="AT49" s="300">
        <f t="shared" ref="AT49:AV49" si="89">BK10</f>
        <v>0.111313</v>
      </c>
      <c r="AU49" s="300">
        <f t="shared" si="89"/>
        <v>3.4E-5</v>
      </c>
      <c r="AV49" s="300">
        <f t="shared" si="89"/>
        <v>1.5169999999999999E-3</v>
      </c>
      <c r="CE49" s="1963"/>
      <c r="CF49" s="1963"/>
      <c r="CG49" s="123" t="s">
        <v>753</v>
      </c>
      <c r="CH49" s="336">
        <v>1.20302</v>
      </c>
      <c r="CI49" s="336">
        <v>1.18127</v>
      </c>
      <c r="CJ49" s="336">
        <v>1.6000000000000001E-4</v>
      </c>
      <c r="CK49" s="336">
        <v>2.1590000000000002E-2</v>
      </c>
      <c r="CL49" s="336">
        <v>1.49834</v>
      </c>
      <c r="CM49" s="336">
        <v>1.4765900000000001</v>
      </c>
      <c r="CN49" s="336">
        <v>1.6000000000000001E-4</v>
      </c>
      <c r="CO49" s="336">
        <v>2.1590000000000002E-2</v>
      </c>
      <c r="CP49" s="336">
        <v>1.79366</v>
      </c>
      <c r="CQ49" s="336">
        <v>1.7719100000000001</v>
      </c>
      <c r="CR49" s="336">
        <v>1.6000000000000001E-4</v>
      </c>
      <c r="CS49" s="342">
        <v>2.1590000000000002E-2</v>
      </c>
      <c r="CT49" s="352">
        <v>1.4451799999999999</v>
      </c>
      <c r="CU49" s="352">
        <v>1.42344</v>
      </c>
      <c r="CV49" s="352">
        <v>1.6000000000000001E-4</v>
      </c>
      <c r="CW49" s="352">
        <v>2.1590000000000002E-2</v>
      </c>
      <c r="CX49" s="348"/>
      <c r="DK49" s="1967"/>
      <c r="DL49" s="1388" t="s">
        <v>924</v>
      </c>
      <c r="DM49" s="1389">
        <f t="shared" si="87"/>
        <v>6130</v>
      </c>
      <c r="DO49" s="1968"/>
      <c r="DP49" s="123" t="s">
        <v>920</v>
      </c>
      <c r="DQ49" s="123" t="s">
        <v>202</v>
      </c>
      <c r="DR49" s="388">
        <v>3124</v>
      </c>
      <c r="EP49" s="493"/>
      <c r="EQ49" s="494"/>
      <c r="ER49" s="345"/>
      <c r="ES49" s="347"/>
      <c r="ET49" s="347"/>
      <c r="EU49" s="347"/>
      <c r="EV49" s="347"/>
      <c r="EW49" s="347"/>
      <c r="EX49" s="347"/>
      <c r="EY49" s="347"/>
      <c r="EZ49" s="347"/>
    </row>
    <row r="50" spans="1:164" ht="16.5" x14ac:dyDescent="0.35">
      <c r="A50" s="1979"/>
      <c r="B50" s="158" t="s">
        <v>571</v>
      </c>
      <c r="C50" s="161" t="s">
        <v>581</v>
      </c>
      <c r="D50" s="159" t="str">
        <f t="shared" si="73"/>
        <v>Wood chips|Cubic metres (m3)</v>
      </c>
      <c r="E50" s="1275">
        <f>E49*'Fuel properties'!G48</f>
        <v>14.763238159999998</v>
      </c>
      <c r="F50" s="1275">
        <f>F49*'Fuel properties'!G48</f>
        <v>0</v>
      </c>
      <c r="G50" s="1275">
        <f>G49*'Fuel properties'!G48</f>
        <v>0</v>
      </c>
      <c r="H50" s="1275">
        <f>H49*'Fuel properties'!G48</f>
        <v>0</v>
      </c>
      <c r="J50" s="1977"/>
      <c r="K50" s="1981"/>
      <c r="L50" s="123" t="s">
        <v>199</v>
      </c>
      <c r="M50" s="126">
        <v>2.5403899999999999</v>
      </c>
      <c r="N50" s="126">
        <v>2.5278200000000002</v>
      </c>
      <c r="O50" s="126">
        <v>6.2700000000000004E-3</v>
      </c>
      <c r="P50" s="126">
        <v>6.3E-3</v>
      </c>
      <c r="Y50" s="244" t="s">
        <v>1742</v>
      </c>
      <c r="Z50" s="733" t="s">
        <v>824</v>
      </c>
      <c r="AA50" s="244" t="str">
        <f t="shared" si="4"/>
        <v>Nitrous Oxide|Size E Nitrous</v>
      </c>
      <c r="AB50" s="245">
        <v>3.56</v>
      </c>
      <c r="AP50" s="159" t="s">
        <v>770</v>
      </c>
      <c r="AQ50" s="158" t="s">
        <v>197</v>
      </c>
      <c r="AR50" s="164" t="str">
        <f t="shared" si="5"/>
        <v>Ferry-average|km</v>
      </c>
      <c r="AS50" s="299" t="s">
        <v>1724</v>
      </c>
      <c r="AT50" s="299" t="s">
        <v>1724</v>
      </c>
      <c r="AU50" s="299" t="s">
        <v>1724</v>
      </c>
      <c r="AV50" s="299" t="s">
        <v>1724</v>
      </c>
      <c r="CE50" s="1963"/>
      <c r="CF50" s="1963" t="s">
        <v>1798</v>
      </c>
      <c r="CG50" s="123" t="s">
        <v>197</v>
      </c>
      <c r="CH50" s="336">
        <v>0.75427</v>
      </c>
      <c r="CI50" s="336">
        <v>0.73819000000000001</v>
      </c>
      <c r="CJ50" s="336">
        <v>1.2E-4</v>
      </c>
      <c r="CK50" s="336">
        <v>1.5959999999999998E-2</v>
      </c>
      <c r="CL50" s="336">
        <v>1.00034</v>
      </c>
      <c r="CM50" s="336">
        <v>0.98426000000000002</v>
      </c>
      <c r="CN50" s="336">
        <v>1.2E-4</v>
      </c>
      <c r="CO50" s="336">
        <v>1.5959999999999998E-2</v>
      </c>
      <c r="CP50" s="336">
        <v>1.2464</v>
      </c>
      <c r="CQ50" s="336">
        <v>1.2303200000000001</v>
      </c>
      <c r="CR50" s="336">
        <v>1.2E-4</v>
      </c>
      <c r="CS50" s="342">
        <v>1.5959999999999998E-2</v>
      </c>
      <c r="CT50" s="352">
        <v>1.06924</v>
      </c>
      <c r="CU50" s="352">
        <v>1.0531600000000001</v>
      </c>
      <c r="CV50" s="352">
        <v>1.2E-4</v>
      </c>
      <c r="CW50" s="352">
        <v>1.5959999999999998E-2</v>
      </c>
      <c r="CX50" s="348"/>
      <c r="DK50" s="1967"/>
      <c r="DL50" s="1388" t="s">
        <v>925</v>
      </c>
      <c r="DM50" s="1389">
        <f t="shared" si="87"/>
        <v>10000</v>
      </c>
      <c r="DO50" s="330"/>
      <c r="DP50" s="128"/>
      <c r="DQ50" s="128"/>
      <c r="DR50" s="128"/>
      <c r="EP50" s="493"/>
      <c r="EQ50" s="494"/>
      <c r="ER50" s="345"/>
      <c r="ES50" s="1972" t="s">
        <v>1764</v>
      </c>
      <c r="ET50" s="1972"/>
      <c r="EU50" s="1972"/>
      <c r="EV50" s="1972"/>
      <c r="EW50" s="1972" t="s">
        <v>1765</v>
      </c>
      <c r="EX50" s="1972"/>
      <c r="EY50" s="1972"/>
      <c r="EZ50" s="1972"/>
      <c r="FA50" s="1973" t="s">
        <v>1766</v>
      </c>
      <c r="FB50" s="1996"/>
      <c r="FC50" s="1996"/>
      <c r="FD50" s="1997"/>
      <c r="FE50" s="1972" t="s">
        <v>1767</v>
      </c>
      <c r="FF50" s="1972"/>
      <c r="FG50" s="1972"/>
      <c r="FH50" s="1972"/>
    </row>
    <row r="51" spans="1:164" ht="16.5" x14ac:dyDescent="0.45">
      <c r="A51" s="1979"/>
      <c r="B51" s="158" t="s">
        <v>577</v>
      </c>
      <c r="C51" s="159" t="s">
        <v>563</v>
      </c>
      <c r="D51" s="159" t="str">
        <f t="shared" si="73"/>
        <v>Wood logs|Kilowatt hours (KWh)</v>
      </c>
      <c r="E51" s="1276">
        <f>U25</f>
        <v>1.545E-2</v>
      </c>
      <c r="F51" s="1276">
        <f t="shared" ref="F51:H51" si="90">V25</f>
        <v>0</v>
      </c>
      <c r="G51" s="1276">
        <f t="shared" si="90"/>
        <v>0</v>
      </c>
      <c r="H51" s="1276">
        <f t="shared" si="90"/>
        <v>0</v>
      </c>
      <c r="J51" s="1977"/>
      <c r="K51" s="1981"/>
      <c r="L51" s="123" t="s">
        <v>1733</v>
      </c>
      <c r="M51" s="126">
        <v>0.25963999999999998</v>
      </c>
      <c r="N51" s="126">
        <v>0.25835000000000002</v>
      </c>
      <c r="O51" s="126">
        <v>6.4000000000000005E-4</v>
      </c>
      <c r="P51" s="126">
        <v>6.4000000000000005E-4</v>
      </c>
      <c r="Y51" s="244" t="s">
        <v>1742</v>
      </c>
      <c r="Z51" s="733" t="s">
        <v>825</v>
      </c>
      <c r="AA51" s="244" t="str">
        <f t="shared" si="4"/>
        <v>Nitrous Oxide|Size F Nitrous</v>
      </c>
      <c r="AB51" s="245">
        <v>7.12</v>
      </c>
      <c r="AP51" s="159" t="s">
        <v>770</v>
      </c>
      <c r="AQ51" s="158" t="s">
        <v>753</v>
      </c>
      <c r="AR51" s="164" t="str">
        <f t="shared" si="5"/>
        <v>Ferry-average|miles</v>
      </c>
      <c r="AS51" s="299" t="s">
        <v>1724</v>
      </c>
      <c r="AT51" s="299" t="s">
        <v>1724</v>
      </c>
      <c r="AU51" s="299" t="s">
        <v>1724</v>
      </c>
      <c r="AV51" s="299" t="s">
        <v>1724</v>
      </c>
      <c r="CE51" s="1963"/>
      <c r="CF51" s="1963"/>
      <c r="CG51" s="123" t="s">
        <v>753</v>
      </c>
      <c r="CH51" s="336">
        <v>1.2138800000000001</v>
      </c>
      <c r="CI51" s="336">
        <v>1.18801</v>
      </c>
      <c r="CJ51" s="336">
        <v>1.9000000000000001E-4</v>
      </c>
      <c r="CK51" s="336">
        <v>2.5690000000000001E-2</v>
      </c>
      <c r="CL51" s="336">
        <v>1.60989</v>
      </c>
      <c r="CM51" s="336">
        <v>1.5840099999999999</v>
      </c>
      <c r="CN51" s="336">
        <v>1.9000000000000001E-4</v>
      </c>
      <c r="CO51" s="336">
        <v>2.5690000000000001E-2</v>
      </c>
      <c r="CP51" s="336">
        <v>2.00589</v>
      </c>
      <c r="CQ51" s="336">
        <v>1.9800199999999999</v>
      </c>
      <c r="CR51" s="336">
        <v>1.9000000000000001E-4</v>
      </c>
      <c r="CS51" s="342">
        <v>2.5690000000000001E-2</v>
      </c>
      <c r="CT51" s="352">
        <v>1.7207699999999999</v>
      </c>
      <c r="CU51" s="352">
        <v>1.69489</v>
      </c>
      <c r="CV51" s="352">
        <v>1.9000000000000001E-4</v>
      </c>
      <c r="CW51" s="352">
        <v>2.5690000000000001E-2</v>
      </c>
      <c r="CX51" s="348"/>
      <c r="DK51" s="1967"/>
      <c r="DL51" s="1388" t="s">
        <v>926</v>
      </c>
      <c r="DM51" s="1389">
        <f t="shared" si="87"/>
        <v>7370</v>
      </c>
      <c r="DO51" s="330"/>
      <c r="DP51" s="128"/>
      <c r="DQ51" s="128"/>
      <c r="DR51" s="128"/>
      <c r="EP51" s="147" t="s">
        <v>1688</v>
      </c>
      <c r="EQ51" s="331" t="s">
        <v>1702</v>
      </c>
      <c r="ER51" s="122" t="s">
        <v>1689</v>
      </c>
      <c r="ES51" s="123" t="s">
        <v>1690</v>
      </c>
      <c r="ET51" s="123" t="s">
        <v>1691</v>
      </c>
      <c r="EU51" s="123" t="s">
        <v>1692</v>
      </c>
      <c r="EV51" s="123" t="s">
        <v>1693</v>
      </c>
      <c r="EW51" s="123" t="s">
        <v>1690</v>
      </c>
      <c r="EX51" s="123" t="s">
        <v>1691</v>
      </c>
      <c r="EY51" s="123" t="s">
        <v>1692</v>
      </c>
      <c r="EZ51" s="123" t="s">
        <v>1693</v>
      </c>
      <c r="FA51" s="123" t="s">
        <v>1690</v>
      </c>
      <c r="FB51" s="123" t="s">
        <v>1691</v>
      </c>
      <c r="FC51" s="123" t="s">
        <v>1692</v>
      </c>
      <c r="FD51" s="123" t="s">
        <v>1693</v>
      </c>
      <c r="FE51" s="123" t="s">
        <v>1690</v>
      </c>
      <c r="FF51" s="123" t="s">
        <v>1691</v>
      </c>
      <c r="FG51" s="123" t="s">
        <v>1692</v>
      </c>
      <c r="FH51" s="123" t="s">
        <v>1693</v>
      </c>
    </row>
    <row r="52" spans="1:164" x14ac:dyDescent="0.35">
      <c r="A52" s="1979"/>
      <c r="B52" s="158" t="s">
        <v>577</v>
      </c>
      <c r="C52" s="159" t="s">
        <v>575</v>
      </c>
      <c r="D52" s="159" t="str">
        <f t="shared" si="73"/>
        <v>Wood logs|Litres (l)</v>
      </c>
      <c r="E52" s="169" t="s">
        <v>1824</v>
      </c>
      <c r="F52" s="169" t="s">
        <v>1824</v>
      </c>
      <c r="G52" s="169" t="s">
        <v>1824</v>
      </c>
      <c r="H52" s="169" t="s">
        <v>1824</v>
      </c>
      <c r="J52" s="1977"/>
      <c r="K52" s="1982"/>
      <c r="L52" s="123" t="s">
        <v>1737</v>
      </c>
      <c r="M52" s="126">
        <v>0.24665999999999999</v>
      </c>
      <c r="N52" s="126">
        <v>0.24543999999999999</v>
      </c>
      <c r="O52" s="126">
        <v>6.0999999999999997E-4</v>
      </c>
      <c r="P52" s="126">
        <v>6.0999999999999997E-4</v>
      </c>
      <c r="Y52" s="244" t="s">
        <v>1742</v>
      </c>
      <c r="Z52" s="733" t="s">
        <v>826</v>
      </c>
      <c r="AA52" s="244" t="str">
        <f t="shared" si="4"/>
        <v>Nitrous Oxide|Size G Nitrous</v>
      </c>
      <c r="AB52" s="245">
        <v>17.8</v>
      </c>
      <c r="AP52" s="159" t="s">
        <v>771</v>
      </c>
      <c r="AQ52" s="158" t="s">
        <v>751</v>
      </c>
      <c r="AR52" s="164" t="str">
        <f t="shared" si="5"/>
        <v>Small Car|passenger.km</v>
      </c>
      <c r="AS52" s="158" t="s">
        <v>1828</v>
      </c>
      <c r="AT52" s="158" t="s">
        <v>1828</v>
      </c>
      <c r="AU52" s="158" t="s">
        <v>1828</v>
      </c>
      <c r="AV52" s="158" t="s">
        <v>1828</v>
      </c>
      <c r="CE52" s="1963"/>
      <c r="CF52" s="1963" t="s">
        <v>1803</v>
      </c>
      <c r="CG52" s="123" t="s">
        <v>197</v>
      </c>
      <c r="CH52" s="336">
        <v>0.75390999999999997</v>
      </c>
      <c r="CI52" s="336">
        <v>0.73797000000000001</v>
      </c>
      <c r="CJ52" s="336">
        <v>1.1E-4</v>
      </c>
      <c r="CK52" s="336">
        <v>1.583E-2</v>
      </c>
      <c r="CL52" s="336">
        <v>0.99660000000000004</v>
      </c>
      <c r="CM52" s="336">
        <v>0.98065999999999998</v>
      </c>
      <c r="CN52" s="336">
        <v>1.1E-4</v>
      </c>
      <c r="CO52" s="336">
        <v>1.583E-2</v>
      </c>
      <c r="CP52" s="336">
        <v>1.23929</v>
      </c>
      <c r="CQ52" s="336">
        <v>1.2233499999999999</v>
      </c>
      <c r="CR52" s="336">
        <v>1.1E-4</v>
      </c>
      <c r="CS52" s="342">
        <v>1.583E-2</v>
      </c>
      <c r="CT52" s="352">
        <v>1.06</v>
      </c>
      <c r="CU52" s="352">
        <v>1.04406</v>
      </c>
      <c r="CV52" s="352">
        <v>1.1E-4</v>
      </c>
      <c r="CW52" s="352">
        <v>1.583E-2</v>
      </c>
      <c r="CX52" s="348"/>
      <c r="DK52" s="1967"/>
      <c r="DL52" s="1388" t="s">
        <v>927</v>
      </c>
      <c r="DM52" s="1389">
        <f t="shared" si="87"/>
        <v>1890</v>
      </c>
      <c r="DO52" s="330"/>
      <c r="DP52" s="128"/>
      <c r="DQ52" s="128"/>
      <c r="DR52" s="128"/>
      <c r="EP52" s="1994" t="s">
        <v>1829</v>
      </c>
      <c r="EQ52" s="1968" t="s">
        <v>1773</v>
      </c>
      <c r="ER52" s="123" t="s">
        <v>1093</v>
      </c>
      <c r="ES52" s="486"/>
      <c r="ET52" s="486"/>
      <c r="EU52" s="486"/>
      <c r="EV52" s="486"/>
      <c r="EW52" s="487">
        <v>0.55042999999999997</v>
      </c>
      <c r="EX52" s="487">
        <v>0.54486000000000001</v>
      </c>
      <c r="EY52" s="487">
        <v>9.0000000000000006E-5</v>
      </c>
      <c r="EZ52" s="487">
        <v>5.4799999999999996E-3</v>
      </c>
      <c r="FA52" s="487">
        <v>0.29701</v>
      </c>
      <c r="FB52" s="487">
        <v>0.29422999999999999</v>
      </c>
      <c r="FC52" s="487">
        <v>5.0000000000000002E-5</v>
      </c>
      <c r="FD52" s="487">
        <v>2.7399999999999998E-3</v>
      </c>
      <c r="FE52" s="487">
        <v>0.61955000000000005</v>
      </c>
      <c r="FF52" s="487">
        <v>0.61321999999999999</v>
      </c>
      <c r="FG52" s="487">
        <v>1E-4</v>
      </c>
      <c r="FH52" s="487">
        <v>6.2300000000000003E-3</v>
      </c>
    </row>
    <row r="53" spans="1:164" ht="16.5" x14ac:dyDescent="0.45">
      <c r="A53" s="1979"/>
      <c r="B53" s="158" t="s">
        <v>577</v>
      </c>
      <c r="C53" s="159" t="s">
        <v>569</v>
      </c>
      <c r="D53" s="159" t="str">
        <f t="shared" si="73"/>
        <v>Wood logs|Kilograms (kg)</v>
      </c>
      <c r="E53" s="1275">
        <f>U24/1000</f>
        <v>6.3115340000000006E-2</v>
      </c>
      <c r="F53" s="1275">
        <f t="shared" ref="F53:H53" si="91">V24/1000</f>
        <v>0</v>
      </c>
      <c r="G53" s="1275">
        <f t="shared" si="91"/>
        <v>0</v>
      </c>
      <c r="H53" s="1275">
        <f t="shared" si="91"/>
        <v>0</v>
      </c>
      <c r="J53" s="1977"/>
      <c r="K53" s="1980" t="s">
        <v>1830</v>
      </c>
      <c r="L53" s="123" t="s">
        <v>316</v>
      </c>
      <c r="M53" s="131">
        <v>3028.61</v>
      </c>
      <c r="N53" s="131">
        <v>2986.6</v>
      </c>
      <c r="O53" s="131">
        <v>0.3</v>
      </c>
      <c r="P53" s="131">
        <v>41.71</v>
      </c>
      <c r="Y53" s="244" t="s">
        <v>1742</v>
      </c>
      <c r="Z53" s="733" t="s">
        <v>827</v>
      </c>
      <c r="AA53" s="244" t="str">
        <f t="shared" si="4"/>
        <v>Nitrous Oxide|Size J Nitrous</v>
      </c>
      <c r="AB53" s="245">
        <v>35.61</v>
      </c>
      <c r="AP53" s="159" t="s">
        <v>771</v>
      </c>
      <c r="AQ53" s="158" t="s">
        <v>197</v>
      </c>
      <c r="AR53" s="164" t="str">
        <f t="shared" si="5"/>
        <v>Small Car|km</v>
      </c>
      <c r="AS53" s="299">
        <f>BR8</f>
        <v>0.14449000000000001</v>
      </c>
      <c r="AT53" s="299">
        <f t="shared" ref="AT53:AV53" si="92">BS8</f>
        <v>0.14341999999999999</v>
      </c>
      <c r="AU53" s="299">
        <f t="shared" si="92"/>
        <v>2.0000000000000001E-4</v>
      </c>
      <c r="AV53" s="299">
        <f t="shared" si="92"/>
        <v>8.7000000000000001E-4</v>
      </c>
      <c r="CE53" s="1963"/>
      <c r="CF53" s="1963"/>
      <c r="CG53" s="123" t="s">
        <v>753</v>
      </c>
      <c r="CH53" s="336">
        <v>1.2133</v>
      </c>
      <c r="CI53" s="336">
        <v>1.1876500000000001</v>
      </c>
      <c r="CJ53" s="336">
        <v>1.8000000000000001E-4</v>
      </c>
      <c r="CK53" s="336">
        <v>2.547E-2</v>
      </c>
      <c r="CL53" s="336">
        <v>1.6038699999999999</v>
      </c>
      <c r="CM53" s="336">
        <v>1.57822</v>
      </c>
      <c r="CN53" s="336">
        <v>1.8000000000000001E-4</v>
      </c>
      <c r="CO53" s="336">
        <v>2.547E-2</v>
      </c>
      <c r="CP53" s="336">
        <v>1.99444</v>
      </c>
      <c r="CQ53" s="336">
        <v>1.96879</v>
      </c>
      <c r="CR53" s="336">
        <v>1.8000000000000001E-4</v>
      </c>
      <c r="CS53" s="342">
        <v>2.547E-2</v>
      </c>
      <c r="CT53" s="352">
        <v>1.7059</v>
      </c>
      <c r="CU53" s="352">
        <v>1.68024</v>
      </c>
      <c r="CV53" s="352">
        <v>1.8000000000000001E-4</v>
      </c>
      <c r="CW53" s="352">
        <v>2.547E-2</v>
      </c>
      <c r="CX53" s="348"/>
      <c r="DK53" s="1967"/>
      <c r="DL53" s="1388" t="s">
        <v>928</v>
      </c>
      <c r="DM53" s="1389">
        <f t="shared" si="87"/>
        <v>7140</v>
      </c>
      <c r="DO53" s="331" t="s">
        <v>1688</v>
      </c>
      <c r="DP53" s="122" t="s">
        <v>1706</v>
      </c>
      <c r="DQ53" s="122" t="s">
        <v>1689</v>
      </c>
      <c r="DR53" s="123" t="s">
        <v>1690</v>
      </c>
      <c r="EP53" s="1994"/>
      <c r="EQ53" s="1968"/>
      <c r="ER53" s="123" t="s">
        <v>197</v>
      </c>
      <c r="ES53" s="487">
        <v>0.53398999999999996</v>
      </c>
      <c r="ET53" s="487">
        <v>0.52812000000000003</v>
      </c>
      <c r="EU53" s="487">
        <v>1E-4</v>
      </c>
      <c r="EV53" s="487">
        <v>5.77E-3</v>
      </c>
      <c r="EW53" s="487">
        <v>0.57991999999999999</v>
      </c>
      <c r="EX53" s="487">
        <v>0.57404999999999995</v>
      </c>
      <c r="EY53" s="487">
        <v>1E-4</v>
      </c>
      <c r="EZ53" s="487">
        <v>5.77E-3</v>
      </c>
      <c r="FA53" s="487">
        <v>0.62583999999999995</v>
      </c>
      <c r="FB53" s="487">
        <v>0.61997000000000002</v>
      </c>
      <c r="FC53" s="487">
        <v>1E-4</v>
      </c>
      <c r="FD53" s="487">
        <v>5.77E-3</v>
      </c>
      <c r="FE53" s="487">
        <v>0.57440999999999998</v>
      </c>
      <c r="FF53" s="487">
        <v>0.56854000000000005</v>
      </c>
      <c r="FG53" s="487">
        <v>1E-4</v>
      </c>
      <c r="FH53" s="487">
        <v>5.77E-3</v>
      </c>
    </row>
    <row r="54" spans="1:164" ht="16.5" x14ac:dyDescent="0.35">
      <c r="A54" s="1979"/>
      <c r="B54" s="158" t="s">
        <v>577</v>
      </c>
      <c r="C54" s="161" t="s">
        <v>581</v>
      </c>
      <c r="D54" s="159" t="str">
        <f t="shared" si="73"/>
        <v>Wood logs|Cubic metres (m3)</v>
      </c>
      <c r="E54" s="1275">
        <f>E53*'Fuel properties'!G49</f>
        <v>26.824019500000002</v>
      </c>
      <c r="F54" s="1275">
        <f>F53*'Fuel properties'!G49</f>
        <v>0</v>
      </c>
      <c r="G54" s="1275">
        <f>G53*'Fuel properties'!G49</f>
        <v>0</v>
      </c>
      <c r="H54" s="1275">
        <f>H53*'Fuel properties'!G49</f>
        <v>0</v>
      </c>
      <c r="J54" s="1977"/>
      <c r="K54" s="1981"/>
      <c r="L54" s="123" t="s">
        <v>199</v>
      </c>
      <c r="M54" s="126">
        <v>2.54603</v>
      </c>
      <c r="N54" s="126">
        <v>2.5107200000000001</v>
      </c>
      <c r="O54" s="126">
        <v>2.5000000000000001E-4</v>
      </c>
      <c r="P54" s="126">
        <v>3.5060000000000001E-2</v>
      </c>
      <c r="Y54" s="244" t="s">
        <v>1742</v>
      </c>
      <c r="Z54" s="733" t="s">
        <v>828</v>
      </c>
      <c r="AA54" s="244" t="str">
        <f t="shared" si="4"/>
        <v>Nitrous Oxide|Size AZ Nitrous</v>
      </c>
      <c r="AB54" s="245">
        <v>0.89</v>
      </c>
      <c r="AP54" s="159" t="s">
        <v>771</v>
      </c>
      <c r="AQ54" s="158" t="s">
        <v>753</v>
      </c>
      <c r="AR54" s="164" t="str">
        <f t="shared" si="5"/>
        <v>Small Car|miles</v>
      </c>
      <c r="AS54" s="299">
        <f>BR9</f>
        <v>0.23254</v>
      </c>
      <c r="AT54" s="299">
        <f t="shared" ref="AT54:AV54" si="93">BS9</f>
        <v>0.23080000000000001</v>
      </c>
      <c r="AU54" s="299">
        <f t="shared" si="93"/>
        <v>3.3E-4</v>
      </c>
      <c r="AV54" s="299">
        <f t="shared" si="93"/>
        <v>1.41E-3</v>
      </c>
      <c r="CE54" s="1963"/>
      <c r="CF54" s="1963" t="s">
        <v>1808</v>
      </c>
      <c r="CG54" s="123" t="s">
        <v>197</v>
      </c>
      <c r="CH54" s="336">
        <v>0.77071999999999996</v>
      </c>
      <c r="CI54" s="336">
        <v>0.75749999999999995</v>
      </c>
      <c r="CJ54" s="336">
        <v>1.2999999999999999E-4</v>
      </c>
      <c r="CK54" s="336">
        <v>1.308E-2</v>
      </c>
      <c r="CL54" s="336">
        <v>0.97285999999999995</v>
      </c>
      <c r="CM54" s="336">
        <v>0.95964000000000005</v>
      </c>
      <c r="CN54" s="336">
        <v>1.2999999999999999E-4</v>
      </c>
      <c r="CO54" s="336">
        <v>1.308E-2</v>
      </c>
      <c r="CP54" s="336">
        <v>1.175</v>
      </c>
      <c r="CQ54" s="336">
        <v>1.16178</v>
      </c>
      <c r="CR54" s="336">
        <v>1.2999999999999999E-4</v>
      </c>
      <c r="CS54" s="342">
        <v>1.308E-2</v>
      </c>
      <c r="CT54" s="352">
        <v>1.0142</v>
      </c>
      <c r="CU54" s="352">
        <v>1.00099</v>
      </c>
      <c r="CV54" s="352">
        <v>1.2999999999999999E-4</v>
      </c>
      <c r="CW54" s="352">
        <v>1.308E-2</v>
      </c>
      <c r="CX54" s="348"/>
      <c r="DK54" s="1967"/>
      <c r="DL54" s="1388" t="s">
        <v>929</v>
      </c>
      <c r="DM54" s="1389">
        <f t="shared" si="87"/>
        <v>1640</v>
      </c>
      <c r="DO54" s="1968" t="s">
        <v>1826</v>
      </c>
      <c r="DP54" s="123" t="s">
        <v>921</v>
      </c>
      <c r="DQ54" s="123" t="s">
        <v>202</v>
      </c>
      <c r="DR54" s="388">
        <v>4750</v>
      </c>
      <c r="EP54" s="1994"/>
      <c r="EQ54" s="1968"/>
      <c r="ER54" s="123" t="s">
        <v>753</v>
      </c>
      <c r="ES54" s="487">
        <v>0.85938000000000003</v>
      </c>
      <c r="ET54" s="487">
        <v>0.84992999999999996</v>
      </c>
      <c r="EU54" s="487">
        <v>1.6000000000000001E-4</v>
      </c>
      <c r="EV54" s="487">
        <v>9.2899999999999996E-3</v>
      </c>
      <c r="EW54" s="487">
        <v>0.93328</v>
      </c>
      <c r="EX54" s="487">
        <v>0.92383999999999999</v>
      </c>
      <c r="EY54" s="487">
        <v>1.6000000000000001E-4</v>
      </c>
      <c r="EZ54" s="487">
        <v>9.2899999999999996E-3</v>
      </c>
      <c r="FA54" s="487">
        <v>1.00719</v>
      </c>
      <c r="FB54" s="487">
        <v>0.99775000000000003</v>
      </c>
      <c r="FC54" s="487">
        <v>1.6000000000000001E-4</v>
      </c>
      <c r="FD54" s="487">
        <v>9.2899999999999996E-3</v>
      </c>
      <c r="FE54" s="487">
        <v>0.92442000000000002</v>
      </c>
      <c r="FF54" s="487">
        <v>0.91496999999999995</v>
      </c>
      <c r="FG54" s="487">
        <v>1.6000000000000001E-4</v>
      </c>
      <c r="FH54" s="487">
        <v>9.2899999999999996E-3</v>
      </c>
    </row>
    <row r="55" spans="1:164" x14ac:dyDescent="0.35">
      <c r="A55" s="1979"/>
      <c r="B55" s="158" t="s">
        <v>583</v>
      </c>
      <c r="C55" s="159" t="s">
        <v>563</v>
      </c>
      <c r="D55" s="159" t="str">
        <f t="shared" si="73"/>
        <v>Wood pellets|Kilowatt hours (KWh)</v>
      </c>
      <c r="E55" s="1276">
        <f>U29</f>
        <v>1.545E-2</v>
      </c>
      <c r="F55" s="1276">
        <f t="shared" ref="F55:H55" si="94">V29</f>
        <v>0</v>
      </c>
      <c r="G55" s="1276">
        <f t="shared" si="94"/>
        <v>0</v>
      </c>
      <c r="H55" s="1276">
        <f t="shared" si="94"/>
        <v>0</v>
      </c>
      <c r="J55" s="1977"/>
      <c r="K55" s="1981"/>
      <c r="L55" s="123" t="s">
        <v>1733</v>
      </c>
      <c r="M55" s="126">
        <v>0.25568000000000002</v>
      </c>
      <c r="N55" s="126">
        <v>0.25213999999999998</v>
      </c>
      <c r="O55" s="126">
        <v>3.0000000000000001E-5</v>
      </c>
      <c r="P55" s="126">
        <v>3.5200000000000001E-3</v>
      </c>
      <c r="Y55" s="244" t="s">
        <v>1742</v>
      </c>
      <c r="Z55" s="733" t="s">
        <v>829</v>
      </c>
      <c r="AA55" s="244" t="str">
        <f t="shared" si="4"/>
        <v>Nitrous Oxide|ENTONOX EA</v>
      </c>
      <c r="AB55" s="245">
        <v>0.35</v>
      </c>
      <c r="AP55" s="159" t="s">
        <v>772</v>
      </c>
      <c r="AQ55" s="158" t="s">
        <v>751</v>
      </c>
      <c r="AR55" s="164" t="str">
        <f t="shared" si="5"/>
        <v>Medium Car|passenger.km</v>
      </c>
      <c r="AS55" s="158" t="s">
        <v>1828</v>
      </c>
      <c r="AT55" s="158" t="s">
        <v>1828</v>
      </c>
      <c r="AU55" s="158" t="s">
        <v>1828</v>
      </c>
      <c r="AV55" s="158" t="s">
        <v>1828</v>
      </c>
      <c r="CE55" s="1963"/>
      <c r="CF55" s="1963"/>
      <c r="CG55" s="123" t="s">
        <v>753</v>
      </c>
      <c r="CH55" s="336">
        <v>1.2403599999999999</v>
      </c>
      <c r="CI55" s="336">
        <v>1.2190799999999999</v>
      </c>
      <c r="CJ55" s="336">
        <v>2.2000000000000001E-4</v>
      </c>
      <c r="CK55" s="336">
        <v>2.1059999999999999E-2</v>
      </c>
      <c r="CL55" s="336">
        <v>1.5656699999999999</v>
      </c>
      <c r="CM55" s="336">
        <v>1.5443899999999999</v>
      </c>
      <c r="CN55" s="336">
        <v>2.2000000000000001E-4</v>
      </c>
      <c r="CO55" s="336">
        <v>2.1059999999999999E-2</v>
      </c>
      <c r="CP55" s="336">
        <v>1.8909800000000001</v>
      </c>
      <c r="CQ55" s="336">
        <v>1.8696999999999999</v>
      </c>
      <c r="CR55" s="336">
        <v>2.2000000000000001E-4</v>
      </c>
      <c r="CS55" s="342">
        <v>2.1059999999999999E-2</v>
      </c>
      <c r="CT55" s="352">
        <v>1.6322000000000001</v>
      </c>
      <c r="CU55" s="352">
        <v>1.61093</v>
      </c>
      <c r="CV55" s="352">
        <v>2.2000000000000001E-4</v>
      </c>
      <c r="CW55" s="352">
        <v>2.1059999999999999E-2</v>
      </c>
      <c r="CX55" s="348"/>
      <c r="DK55" s="1967"/>
      <c r="DL55" s="1388" t="s">
        <v>930</v>
      </c>
      <c r="DM55" s="1389">
        <f t="shared" si="87"/>
        <v>1400</v>
      </c>
      <c r="DO55" s="1968"/>
      <c r="DP55" s="123" t="s">
        <v>922</v>
      </c>
      <c r="DQ55" s="123" t="s">
        <v>202</v>
      </c>
      <c r="DR55" s="388">
        <v>10900</v>
      </c>
      <c r="EP55" s="1994"/>
      <c r="EQ55" s="1968" t="s">
        <v>1777</v>
      </c>
      <c r="ER55" s="123" t="s">
        <v>1093</v>
      </c>
      <c r="ES55" s="486"/>
      <c r="ET55" s="486"/>
      <c r="EU55" s="486"/>
      <c r="EV55" s="486"/>
      <c r="EW55" s="487">
        <v>0.30213000000000001</v>
      </c>
      <c r="EX55" s="487">
        <v>0.29918</v>
      </c>
      <c r="EY55" s="487">
        <v>5.0000000000000002E-5</v>
      </c>
      <c r="EZ55" s="487">
        <v>2.8999999999999998E-3</v>
      </c>
      <c r="FA55" s="487">
        <v>0.16975999999999999</v>
      </c>
      <c r="FB55" s="487">
        <v>0.16829</v>
      </c>
      <c r="FC55" s="487">
        <v>2.0000000000000002E-5</v>
      </c>
      <c r="FD55" s="487">
        <v>1.4499999999999999E-3</v>
      </c>
      <c r="FE55" s="487">
        <v>0.4385</v>
      </c>
      <c r="FF55" s="487">
        <v>0.43403000000000003</v>
      </c>
      <c r="FG55" s="487">
        <v>6.9999999999999994E-5</v>
      </c>
      <c r="FH55" s="487">
        <v>4.4000000000000003E-3</v>
      </c>
    </row>
    <row r="56" spans="1:164" x14ac:dyDescent="0.35">
      <c r="A56" s="1979"/>
      <c r="B56" s="158" t="s">
        <v>583</v>
      </c>
      <c r="C56" s="159" t="s">
        <v>575</v>
      </c>
      <c r="D56" s="159" t="str">
        <f t="shared" si="73"/>
        <v>Wood pellets|Litres (l)</v>
      </c>
      <c r="E56" s="169" t="s">
        <v>1824</v>
      </c>
      <c r="F56" s="169" t="s">
        <v>1824</v>
      </c>
      <c r="G56" s="169" t="s">
        <v>1824</v>
      </c>
      <c r="H56" s="169" t="s">
        <v>1824</v>
      </c>
      <c r="J56" s="1977"/>
      <c r="K56" s="1982"/>
      <c r="L56" s="123" t="s">
        <v>1737</v>
      </c>
      <c r="M56" s="126">
        <v>0.24057000000000001</v>
      </c>
      <c r="N56" s="126">
        <v>0.23724000000000001</v>
      </c>
      <c r="O56" s="126">
        <v>2.0000000000000002E-5</v>
      </c>
      <c r="P56" s="126">
        <v>3.31E-3</v>
      </c>
      <c r="Y56" s="244" t="s">
        <v>1742</v>
      </c>
      <c r="Z56" s="734" t="s">
        <v>830</v>
      </c>
      <c r="AA56" s="244" t="str">
        <f t="shared" si="4"/>
        <v>Nitrous Oxide|ENTONOX SIZE  D</v>
      </c>
      <c r="AB56" s="245">
        <v>0.49</v>
      </c>
      <c r="AP56" s="159" t="s">
        <v>772</v>
      </c>
      <c r="AQ56" s="158" t="s">
        <v>197</v>
      </c>
      <c r="AR56" s="164" t="str">
        <f t="shared" si="5"/>
        <v>Medium Car|km</v>
      </c>
      <c r="AS56" s="299">
        <f>BR18</f>
        <v>0.10086000000000001</v>
      </c>
      <c r="AT56" s="299">
        <f t="shared" ref="AT56:AV56" si="95">BS18</f>
        <v>9.8159999999999997E-2</v>
      </c>
      <c r="AU56" s="299">
        <f t="shared" si="95"/>
        <v>2.0999999999999999E-3</v>
      </c>
      <c r="AV56" s="299">
        <f t="shared" si="95"/>
        <v>5.9999999999999995E-4</v>
      </c>
      <c r="DK56" s="1967"/>
      <c r="DL56" s="1388" t="s">
        <v>931</v>
      </c>
      <c r="DM56" s="1389">
        <f t="shared" si="87"/>
        <v>5</v>
      </c>
      <c r="DO56" s="1968"/>
      <c r="DP56" s="123" t="s">
        <v>923</v>
      </c>
      <c r="DQ56" s="123" t="s">
        <v>202</v>
      </c>
      <c r="DR56" s="388">
        <v>14400</v>
      </c>
      <c r="EP56" s="1994"/>
      <c r="EQ56" s="1968"/>
      <c r="ER56" s="123" t="s">
        <v>197</v>
      </c>
      <c r="ES56" s="487">
        <v>0.64168000000000003</v>
      </c>
      <c r="ET56" s="487">
        <v>0.63453000000000004</v>
      </c>
      <c r="EU56" s="487">
        <v>1.2E-4</v>
      </c>
      <c r="EV56" s="487">
        <v>7.0400000000000003E-3</v>
      </c>
      <c r="EW56" s="487">
        <v>0.73233000000000004</v>
      </c>
      <c r="EX56" s="487">
        <v>0.72516999999999998</v>
      </c>
      <c r="EY56" s="487">
        <v>1.2E-4</v>
      </c>
      <c r="EZ56" s="487">
        <v>7.0400000000000003E-3</v>
      </c>
      <c r="FA56" s="487">
        <v>0.82298000000000004</v>
      </c>
      <c r="FB56" s="487">
        <v>0.81581999999999999</v>
      </c>
      <c r="FC56" s="487">
        <v>1.2E-4</v>
      </c>
      <c r="FD56" s="487">
        <v>7.0400000000000003E-3</v>
      </c>
      <c r="FE56" s="487">
        <v>0.70150999999999997</v>
      </c>
      <c r="FF56" s="487">
        <v>0.69435000000000002</v>
      </c>
      <c r="FG56" s="487">
        <v>1.2E-4</v>
      </c>
      <c r="FH56" s="487">
        <v>7.0400000000000003E-3</v>
      </c>
    </row>
    <row r="57" spans="1:164" x14ac:dyDescent="0.35">
      <c r="A57" s="1979"/>
      <c r="B57" s="158" t="s">
        <v>583</v>
      </c>
      <c r="C57" s="159" t="s">
        <v>569</v>
      </c>
      <c r="D57" s="159" t="str">
        <f t="shared" si="73"/>
        <v>Wood pellets|Kilograms (kg)</v>
      </c>
      <c r="E57" s="1275">
        <f>U28/1000</f>
        <v>7.229730999999999E-2</v>
      </c>
      <c r="F57" s="1275">
        <f t="shared" ref="F57:H57" si="96">V28/1000</f>
        <v>0</v>
      </c>
      <c r="G57" s="1275">
        <f t="shared" si="96"/>
        <v>0</v>
      </c>
      <c r="H57" s="1275">
        <f t="shared" si="96"/>
        <v>0</v>
      </c>
      <c r="J57" s="1977"/>
      <c r="K57" s="1980" t="s">
        <v>1831</v>
      </c>
      <c r="L57" s="123" t="s">
        <v>316</v>
      </c>
      <c r="M57" s="131">
        <v>3206.62</v>
      </c>
      <c r="N57" s="131">
        <v>3164.33</v>
      </c>
      <c r="O57" s="131">
        <v>0.3</v>
      </c>
      <c r="P57" s="131">
        <v>41.99</v>
      </c>
      <c r="Y57" s="244" t="s">
        <v>1742</v>
      </c>
      <c r="Z57" s="734" t="s">
        <v>831</v>
      </c>
      <c r="AA57" s="244" t="str">
        <f t="shared" si="4"/>
        <v>Nitrous Oxide|ENTONOX SIZE ED</v>
      </c>
      <c r="AB57" s="245">
        <v>0.69</v>
      </c>
      <c r="AP57" s="159" t="s">
        <v>772</v>
      </c>
      <c r="AQ57" s="158" t="s">
        <v>753</v>
      </c>
      <c r="AR57" s="164" t="str">
        <f t="shared" si="5"/>
        <v>Medium Car|miles</v>
      </c>
      <c r="AS57" s="299">
        <f>BR19</f>
        <v>0.1623</v>
      </c>
      <c r="AT57" s="299">
        <f t="shared" ref="AT57:AV57" si="97">BS19</f>
        <v>0.15797</v>
      </c>
      <c r="AU57" s="299">
        <f t="shared" si="97"/>
        <v>3.3700000000000002E-3</v>
      </c>
      <c r="AV57" s="299">
        <f t="shared" si="97"/>
        <v>9.6000000000000002E-4</v>
      </c>
      <c r="DK57" s="1967"/>
      <c r="DL57" s="1388" t="s">
        <v>932</v>
      </c>
      <c r="DM57" s="1389">
        <f t="shared" si="87"/>
        <v>146</v>
      </c>
      <c r="DO57" s="1968"/>
      <c r="DP57" s="123" t="s">
        <v>924</v>
      </c>
      <c r="DQ57" s="123" t="s">
        <v>202</v>
      </c>
      <c r="DR57" s="388">
        <v>6130</v>
      </c>
      <c r="EP57" s="1994"/>
      <c r="EQ57" s="1968"/>
      <c r="ER57" s="123" t="s">
        <v>753</v>
      </c>
      <c r="ES57" s="487">
        <v>1.0326900000000001</v>
      </c>
      <c r="ET57" s="487">
        <v>1.0211699999999999</v>
      </c>
      <c r="EU57" s="487">
        <v>1.9000000000000001E-4</v>
      </c>
      <c r="EV57" s="487">
        <v>1.133E-2</v>
      </c>
      <c r="EW57" s="487">
        <v>1.1785699999999999</v>
      </c>
      <c r="EX57" s="487">
        <v>1.1670499999999999</v>
      </c>
      <c r="EY57" s="487">
        <v>1.9000000000000001E-4</v>
      </c>
      <c r="EZ57" s="487">
        <v>1.133E-2</v>
      </c>
      <c r="FA57" s="487">
        <v>1.3244499999999999</v>
      </c>
      <c r="FB57" s="487">
        <v>1.3129299999999999</v>
      </c>
      <c r="FC57" s="487">
        <v>1.9000000000000001E-4</v>
      </c>
      <c r="FD57" s="487">
        <v>1.133E-2</v>
      </c>
      <c r="FE57" s="487">
        <v>1.12897</v>
      </c>
      <c r="FF57" s="487">
        <v>1.1174500000000001</v>
      </c>
      <c r="FG57" s="487">
        <v>1.9000000000000001E-4</v>
      </c>
      <c r="FH57" s="487">
        <v>1.133E-2</v>
      </c>
    </row>
    <row r="58" spans="1:164" ht="16.5" x14ac:dyDescent="0.35">
      <c r="A58" s="1979"/>
      <c r="B58" s="158" t="s">
        <v>583</v>
      </c>
      <c r="C58" s="161" t="s">
        <v>581</v>
      </c>
      <c r="D58" s="159" t="str">
        <f t="shared" si="73"/>
        <v>Wood pellets|Cubic metres (m3)</v>
      </c>
      <c r="E58" s="1275">
        <f>E57*'Fuel properties'!G50</f>
        <v>46.993251499999992</v>
      </c>
      <c r="F58" s="1275">
        <f>F57*'Fuel properties'!G50</f>
        <v>0</v>
      </c>
      <c r="G58" s="1275">
        <f>G57*'Fuel properties'!G50</f>
        <v>0</v>
      </c>
      <c r="H58" s="1275">
        <f>H57*'Fuel properties'!G50</f>
        <v>0</v>
      </c>
      <c r="J58" s="1977"/>
      <c r="K58" s="1981"/>
      <c r="L58" s="123" t="s">
        <v>199</v>
      </c>
      <c r="M58" s="126">
        <v>2.6878700000000002</v>
      </c>
      <c r="N58" s="126">
        <v>2.6524200000000002</v>
      </c>
      <c r="O58" s="126">
        <v>2.5000000000000001E-4</v>
      </c>
      <c r="P58" s="126">
        <v>3.5200000000000002E-2</v>
      </c>
      <c r="Y58" s="244" t="s">
        <v>1742</v>
      </c>
      <c r="Z58" s="734" t="s">
        <v>832</v>
      </c>
      <c r="AA58" s="244" t="str">
        <f t="shared" si="4"/>
        <v>Nitrous Oxide|ENTONOX SIZE EX</v>
      </c>
      <c r="AB58" s="245">
        <v>3.46</v>
      </c>
      <c r="AP58" s="159" t="s">
        <v>773</v>
      </c>
      <c r="AQ58" s="158" t="s">
        <v>751</v>
      </c>
      <c r="AR58" s="164" t="str">
        <f t="shared" si="5"/>
        <v>Large Car|passenger.km</v>
      </c>
      <c r="AS58" s="158" t="s">
        <v>1828</v>
      </c>
      <c r="AT58" s="158" t="s">
        <v>1828</v>
      </c>
      <c r="AU58" s="158" t="s">
        <v>1828</v>
      </c>
      <c r="AV58" s="158" t="s">
        <v>1828</v>
      </c>
      <c r="DK58" s="1967"/>
      <c r="DL58" s="1388" t="s">
        <v>933</v>
      </c>
      <c r="DM58" s="1389">
        <f t="shared" si="87"/>
        <v>1810</v>
      </c>
      <c r="DO58" s="1968"/>
      <c r="DP58" s="123" t="s">
        <v>925</v>
      </c>
      <c r="DQ58" s="123" t="s">
        <v>202</v>
      </c>
      <c r="DR58" s="388">
        <v>10000</v>
      </c>
      <c r="EP58" s="1994"/>
      <c r="EQ58" s="1968" t="s">
        <v>1783</v>
      </c>
      <c r="ER58" s="123" t="s">
        <v>1093</v>
      </c>
      <c r="ES58" s="486"/>
      <c r="ET58" s="486"/>
      <c r="EU58" s="486"/>
      <c r="EV58" s="486"/>
      <c r="EW58" s="487">
        <v>0.24145</v>
      </c>
      <c r="EX58" s="487">
        <v>0.23893</v>
      </c>
      <c r="EY58" s="487">
        <v>4.0000000000000003E-5</v>
      </c>
      <c r="EZ58" s="487">
        <v>2.48E-3</v>
      </c>
      <c r="FA58" s="487">
        <v>0.14223</v>
      </c>
      <c r="FB58" s="487">
        <v>0.14097000000000001</v>
      </c>
      <c r="FC58" s="487">
        <v>2.0000000000000002E-5</v>
      </c>
      <c r="FD58" s="487">
        <v>1.24E-3</v>
      </c>
      <c r="FE58" s="487">
        <v>0.21793000000000001</v>
      </c>
      <c r="FF58" s="487">
        <v>0.2157</v>
      </c>
      <c r="FG58" s="487">
        <v>4.0000000000000003E-5</v>
      </c>
      <c r="FH58" s="487">
        <v>2.1900000000000001E-3</v>
      </c>
    </row>
    <row r="59" spans="1:164" x14ac:dyDescent="0.35">
      <c r="A59" s="1979"/>
      <c r="B59" s="158" t="s">
        <v>589</v>
      </c>
      <c r="C59" s="159" t="s">
        <v>563</v>
      </c>
      <c r="D59" s="159" t="str">
        <f t="shared" si="73"/>
        <v>Charcoal|Kilowatt hours (KWh)</v>
      </c>
      <c r="E59" s="1280">
        <v>0</v>
      </c>
      <c r="F59" s="1280">
        <v>0</v>
      </c>
      <c r="G59" s="1280">
        <v>0</v>
      </c>
      <c r="H59" s="1280">
        <v>0</v>
      </c>
      <c r="J59" s="1977"/>
      <c r="K59" s="1981"/>
      <c r="L59" s="123" t="s">
        <v>1733</v>
      </c>
      <c r="M59" s="126">
        <v>0.26890999999999998</v>
      </c>
      <c r="N59" s="126">
        <v>0.26535999999999998</v>
      </c>
      <c r="O59" s="126">
        <v>3.0000000000000001E-5</v>
      </c>
      <c r="P59" s="126">
        <v>3.5200000000000001E-3</v>
      </c>
      <c r="Y59" s="244" t="s">
        <v>1742</v>
      </c>
      <c r="Z59" s="734" t="s">
        <v>792</v>
      </c>
      <c r="AA59" s="244" t="str">
        <f t="shared" si="4"/>
        <v>Nitrous Oxide|ENTONOX SIZE  F</v>
      </c>
      <c r="AB59" s="244">
        <v>1.98</v>
      </c>
      <c r="AP59" s="159" t="s">
        <v>773</v>
      </c>
      <c r="AQ59" s="158" t="s">
        <v>197</v>
      </c>
      <c r="AR59" s="164" t="str">
        <f t="shared" si="5"/>
        <v>Large Car|km</v>
      </c>
      <c r="AS59" s="299">
        <f>BR20</f>
        <v>0.13236999999999999</v>
      </c>
      <c r="AT59" s="299">
        <f t="shared" ref="AT59:AV59" si="98">BS20</f>
        <v>0.13058</v>
      </c>
      <c r="AU59" s="299">
        <f t="shared" si="98"/>
        <v>1.1900000000000001E-3</v>
      </c>
      <c r="AV59" s="299">
        <f t="shared" si="98"/>
        <v>5.9999999999999995E-4</v>
      </c>
      <c r="DK59" s="1967"/>
      <c r="DL59" s="1388" t="s">
        <v>934</v>
      </c>
      <c r="DM59" s="1389">
        <f t="shared" si="87"/>
        <v>77</v>
      </c>
      <c r="DO59" s="1968"/>
      <c r="DP59" s="123" t="s">
        <v>926</v>
      </c>
      <c r="DQ59" s="123" t="s">
        <v>202</v>
      </c>
      <c r="DR59" s="388">
        <v>7370</v>
      </c>
      <c r="EP59" s="1994"/>
      <c r="EQ59" s="1968"/>
      <c r="ER59" s="123" t="s">
        <v>197</v>
      </c>
      <c r="ES59" s="487">
        <v>0.92142999999999997</v>
      </c>
      <c r="ET59" s="487">
        <v>0.90969999999999995</v>
      </c>
      <c r="EU59" s="487">
        <v>1.9000000000000001E-4</v>
      </c>
      <c r="EV59" s="487">
        <v>1.153E-2</v>
      </c>
      <c r="EW59" s="487">
        <v>1.1211199999999999</v>
      </c>
      <c r="EX59" s="487">
        <v>1.1093900000000001</v>
      </c>
      <c r="EY59" s="487">
        <v>1.9000000000000001E-4</v>
      </c>
      <c r="EZ59" s="487">
        <v>1.153E-2</v>
      </c>
      <c r="FA59" s="487">
        <v>1.32081</v>
      </c>
      <c r="FB59" s="487">
        <v>1.30908</v>
      </c>
      <c r="FC59" s="487">
        <v>1.9000000000000001E-4</v>
      </c>
      <c r="FD59" s="487">
        <v>1.153E-2</v>
      </c>
      <c r="FE59" s="487">
        <v>1.14798</v>
      </c>
      <c r="FF59" s="487">
        <v>1.13625</v>
      </c>
      <c r="FG59" s="487">
        <v>1.9000000000000001E-4</v>
      </c>
      <c r="FH59" s="487">
        <v>1.153E-2</v>
      </c>
    </row>
    <row r="60" spans="1:164" x14ac:dyDescent="0.35">
      <c r="A60" s="1979"/>
      <c r="B60" s="158" t="s">
        <v>589</v>
      </c>
      <c r="C60" s="159" t="s">
        <v>575</v>
      </c>
      <c r="D60" s="159" t="str">
        <f t="shared" si="73"/>
        <v>Charcoal|Litres (l)</v>
      </c>
      <c r="E60" s="1280">
        <v>0</v>
      </c>
      <c r="F60" s="1280">
        <v>0</v>
      </c>
      <c r="G60" s="1280">
        <v>0</v>
      </c>
      <c r="H60" s="1280">
        <v>0</v>
      </c>
      <c r="J60" s="1977"/>
      <c r="K60" s="1982"/>
      <c r="L60" s="123" t="s">
        <v>1737</v>
      </c>
      <c r="M60" s="126">
        <v>0.25278</v>
      </c>
      <c r="N60" s="126">
        <v>0.24944</v>
      </c>
      <c r="O60" s="126">
        <v>2.0000000000000002E-5</v>
      </c>
      <c r="P60" s="126">
        <v>3.31E-3</v>
      </c>
      <c r="Y60" s="244" t="s">
        <v>1742</v>
      </c>
      <c r="Z60" s="734" t="s">
        <v>833</v>
      </c>
      <c r="AA60" s="244" t="str">
        <f t="shared" si="4"/>
        <v>Nitrous Oxide|ENTONOX SIZE  G</v>
      </c>
      <c r="AB60" s="245">
        <v>4.95</v>
      </c>
      <c r="AP60" s="159" t="s">
        <v>773</v>
      </c>
      <c r="AQ60" s="158" t="s">
        <v>753</v>
      </c>
      <c r="AR60" s="164" t="str">
        <f t="shared" si="5"/>
        <v>Large Car|miles</v>
      </c>
      <c r="AS60" s="299">
        <f>BR21</f>
        <v>0.21301999999999999</v>
      </c>
      <c r="AT60" s="299">
        <f t="shared" ref="AT60:AV60" si="99">BS21</f>
        <v>0.21015</v>
      </c>
      <c r="AU60" s="299">
        <f t="shared" si="99"/>
        <v>1.91E-3</v>
      </c>
      <c r="AV60" s="299">
        <f t="shared" si="99"/>
        <v>9.6000000000000002E-4</v>
      </c>
      <c r="DK60" s="1967"/>
      <c r="DL60" s="1388" t="s">
        <v>935</v>
      </c>
      <c r="DM60" s="1389">
        <f t="shared" si="87"/>
        <v>609</v>
      </c>
      <c r="DO60" s="1968"/>
      <c r="DP60" s="123" t="s">
        <v>927</v>
      </c>
      <c r="DQ60" s="123" t="s">
        <v>202</v>
      </c>
      <c r="DR60" s="388">
        <v>1890</v>
      </c>
      <c r="EP60" s="1994"/>
      <c r="EQ60" s="1968"/>
      <c r="ER60" s="123" t="s">
        <v>753</v>
      </c>
      <c r="ES60" s="487">
        <v>1.48289</v>
      </c>
      <c r="ET60" s="487">
        <v>1.4640200000000001</v>
      </c>
      <c r="EU60" s="487">
        <v>3.1E-4</v>
      </c>
      <c r="EV60" s="487">
        <v>1.856E-2</v>
      </c>
      <c r="EW60" s="487">
        <v>1.80426</v>
      </c>
      <c r="EX60" s="487">
        <v>1.78539</v>
      </c>
      <c r="EY60" s="487">
        <v>3.1E-4</v>
      </c>
      <c r="EZ60" s="487">
        <v>1.856E-2</v>
      </c>
      <c r="FA60" s="487">
        <v>2.1256400000000002</v>
      </c>
      <c r="FB60" s="487">
        <v>2.10676</v>
      </c>
      <c r="FC60" s="487">
        <v>3.1E-4</v>
      </c>
      <c r="FD60" s="487">
        <v>1.856E-2</v>
      </c>
      <c r="FE60" s="487">
        <v>1.8474900000000001</v>
      </c>
      <c r="FF60" s="487">
        <v>1.8286100000000001</v>
      </c>
      <c r="FG60" s="487">
        <v>3.1E-4</v>
      </c>
      <c r="FH60" s="487">
        <v>1.856E-2</v>
      </c>
    </row>
    <row r="61" spans="1:164" x14ac:dyDescent="0.35">
      <c r="A61" s="1979"/>
      <c r="B61" s="158" t="s">
        <v>589</v>
      </c>
      <c r="C61" s="159" t="s">
        <v>569</v>
      </c>
      <c r="D61" s="159" t="str">
        <f t="shared" si="73"/>
        <v>Charcoal|Kilograms (kg)</v>
      </c>
      <c r="E61" s="1280">
        <v>0</v>
      </c>
      <c r="F61" s="1280">
        <v>0</v>
      </c>
      <c r="G61" s="1280">
        <v>0</v>
      </c>
      <c r="H61" s="1280">
        <v>0</v>
      </c>
      <c r="J61" s="1977"/>
      <c r="K61" s="1980" t="s">
        <v>1832</v>
      </c>
      <c r="L61" s="123" t="s">
        <v>316</v>
      </c>
      <c r="M61" s="131">
        <v>3221.37</v>
      </c>
      <c r="N61" s="131">
        <v>3209.38</v>
      </c>
      <c r="O61" s="131">
        <v>4.18</v>
      </c>
      <c r="P61" s="131">
        <v>7.81</v>
      </c>
      <c r="Y61" s="244" t="s">
        <v>1742</v>
      </c>
      <c r="Z61" s="733" t="s">
        <v>834</v>
      </c>
      <c r="AA61" s="244" t="str">
        <f t="shared" si="4"/>
        <v>Nitrous Oxide|Allenox 950L</v>
      </c>
      <c r="AB61" s="245">
        <v>0.94</v>
      </c>
      <c r="AP61" s="159" t="s">
        <v>774</v>
      </c>
      <c r="AQ61" s="158" t="s">
        <v>751</v>
      </c>
      <c r="AR61" s="164" t="str">
        <f t="shared" si="5"/>
        <v>Small motorbike|passenger.km</v>
      </c>
      <c r="AS61" s="158" t="s">
        <v>1828</v>
      </c>
      <c r="AT61" s="158" t="s">
        <v>1828</v>
      </c>
      <c r="AU61" s="158" t="s">
        <v>1828</v>
      </c>
      <c r="AV61" s="158" t="s">
        <v>1828</v>
      </c>
      <c r="DK61" s="1967"/>
      <c r="DL61" s="1388" t="s">
        <v>936</v>
      </c>
      <c r="DM61" s="1389">
        <f t="shared" si="87"/>
        <v>725</v>
      </c>
      <c r="DO61" s="1968"/>
      <c r="DP61" s="123" t="s">
        <v>928</v>
      </c>
      <c r="DQ61" s="123" t="s">
        <v>202</v>
      </c>
      <c r="DR61" s="388">
        <v>7140</v>
      </c>
      <c r="EP61" s="1994"/>
      <c r="EQ61" s="1968" t="s">
        <v>1788</v>
      </c>
      <c r="ER61" s="123" t="s">
        <v>1093</v>
      </c>
      <c r="ES61" s="486"/>
      <c r="ET61" s="486"/>
      <c r="EU61" s="486"/>
      <c r="EV61" s="486"/>
      <c r="EW61" s="487">
        <v>0.26999000000000001</v>
      </c>
      <c r="EX61" s="487">
        <v>0.26719999999999999</v>
      </c>
      <c r="EY61" s="487">
        <v>5.0000000000000002E-5</v>
      </c>
      <c r="EZ61" s="487">
        <v>2.7499999999999998E-3</v>
      </c>
      <c r="FA61" s="487">
        <v>0.15633</v>
      </c>
      <c r="FB61" s="487">
        <v>0.15493000000000001</v>
      </c>
      <c r="FC61" s="487">
        <v>2.0000000000000002E-5</v>
      </c>
      <c r="FD61" s="487">
        <v>1.3699999999999999E-3</v>
      </c>
      <c r="FE61" s="487">
        <v>0.25327</v>
      </c>
      <c r="FF61" s="487">
        <v>0.25069000000000002</v>
      </c>
      <c r="FG61" s="487">
        <v>4.0000000000000003E-5</v>
      </c>
      <c r="FH61" s="487">
        <v>2.5400000000000002E-3</v>
      </c>
    </row>
    <row r="62" spans="1:164" ht="16.5" x14ac:dyDescent="0.35">
      <c r="A62" s="1979"/>
      <c r="B62" s="158" t="s">
        <v>589</v>
      </c>
      <c r="C62" s="161" t="s">
        <v>581</v>
      </c>
      <c r="D62" s="159" t="str">
        <f t="shared" si="73"/>
        <v>Charcoal|Cubic metres (m3)</v>
      </c>
      <c r="E62" s="1280">
        <v>0</v>
      </c>
      <c r="F62" s="1280">
        <v>0</v>
      </c>
      <c r="G62" s="1280">
        <v>0</v>
      </c>
      <c r="H62" s="1280">
        <v>0</v>
      </c>
      <c r="J62" s="1977"/>
      <c r="K62" s="1981"/>
      <c r="L62" s="123" t="s">
        <v>199</v>
      </c>
      <c r="M62" s="126">
        <v>3.1831700000000001</v>
      </c>
      <c r="N62" s="126">
        <v>3.1713300000000002</v>
      </c>
      <c r="O62" s="126">
        <v>4.13E-3</v>
      </c>
      <c r="P62" s="126">
        <v>7.7099999999999998E-3</v>
      </c>
      <c r="Y62" s="244" t="s">
        <v>1742</v>
      </c>
      <c r="Z62" s="733" t="s">
        <v>835</v>
      </c>
      <c r="AA62" s="244" t="str">
        <f t="shared" si="4"/>
        <v>Nitrous Oxide|Allenox 2000L</v>
      </c>
      <c r="AB62" s="244">
        <v>1.98</v>
      </c>
      <c r="AP62" s="159" t="s">
        <v>774</v>
      </c>
      <c r="AQ62" s="158" t="s">
        <v>197</v>
      </c>
      <c r="AR62" s="164" t="str">
        <f t="shared" si="5"/>
        <v>Small motorbike|km</v>
      </c>
      <c r="AS62" s="299">
        <f>BR16</f>
        <v>8.2769999999999996E-2</v>
      </c>
      <c r="AT62" s="299">
        <f t="shared" ref="AT62:AV62" si="100">BS16</f>
        <v>8.0860000000000001E-2</v>
      </c>
      <c r="AU62" s="299">
        <f t="shared" si="100"/>
        <v>1.6100000000000001E-3</v>
      </c>
      <c r="AV62" s="299">
        <f t="shared" si="100"/>
        <v>2.9999999999999997E-4</v>
      </c>
      <c r="DK62" s="1967"/>
      <c r="DL62" s="1388" t="s">
        <v>937</v>
      </c>
      <c r="DM62" s="1389">
        <f t="shared" si="87"/>
        <v>2310</v>
      </c>
      <c r="DO62" s="1968"/>
      <c r="DP62" s="123" t="s">
        <v>929</v>
      </c>
      <c r="DQ62" s="123" t="s">
        <v>202</v>
      </c>
      <c r="DR62" s="388">
        <v>1640</v>
      </c>
      <c r="EP62" s="1994"/>
      <c r="EQ62" s="1968"/>
      <c r="ER62" s="123" t="s">
        <v>197</v>
      </c>
      <c r="ES62" s="487">
        <v>0.79257999999999995</v>
      </c>
      <c r="ET62" s="487">
        <v>0.78283999999999998</v>
      </c>
      <c r="EU62" s="487">
        <v>1.6000000000000001E-4</v>
      </c>
      <c r="EV62" s="487">
        <v>9.58E-3</v>
      </c>
      <c r="EW62" s="487">
        <v>0.94135000000000002</v>
      </c>
      <c r="EX62" s="487">
        <v>0.93161000000000005</v>
      </c>
      <c r="EY62" s="487">
        <v>1.6000000000000001E-4</v>
      </c>
      <c r="EZ62" s="487">
        <v>9.58E-3</v>
      </c>
      <c r="FA62" s="487">
        <v>1.09012</v>
      </c>
      <c r="FB62" s="487">
        <v>1.0803799999999999</v>
      </c>
      <c r="FC62" s="487">
        <v>1.6000000000000001E-4</v>
      </c>
      <c r="FD62" s="487">
        <v>9.58E-3</v>
      </c>
      <c r="FE62" s="487">
        <v>0.95369999999999999</v>
      </c>
      <c r="FF62" s="487">
        <v>0.94396000000000002</v>
      </c>
      <c r="FG62" s="487">
        <v>1.6000000000000001E-4</v>
      </c>
      <c r="FH62" s="487">
        <v>9.58E-3</v>
      </c>
    </row>
    <row r="63" spans="1:164" x14ac:dyDescent="0.35">
      <c r="A63" s="1979"/>
      <c r="B63" s="158" t="s">
        <v>593</v>
      </c>
      <c r="C63" s="159" t="s">
        <v>563</v>
      </c>
      <c r="D63" s="159" t="str">
        <f t="shared" si="73"/>
        <v>Grasses/Straw/other biomass|Kilowatt hours (KWh)</v>
      </c>
      <c r="E63" s="1276">
        <f>U31</f>
        <v>1.6289999999999999E-2</v>
      </c>
      <c r="F63" s="1276">
        <f t="shared" ref="F63:H63" si="101">V31</f>
        <v>0</v>
      </c>
      <c r="G63" s="1276">
        <f t="shared" si="101"/>
        <v>0</v>
      </c>
      <c r="H63" s="1276">
        <f t="shared" si="101"/>
        <v>0</v>
      </c>
      <c r="J63" s="1977"/>
      <c r="K63" s="1981"/>
      <c r="L63" s="123" t="s">
        <v>1733</v>
      </c>
      <c r="M63" s="126">
        <v>0.28483999999999998</v>
      </c>
      <c r="N63" s="126">
        <v>0.28377999999999998</v>
      </c>
      <c r="O63" s="126">
        <v>3.6999999999999999E-4</v>
      </c>
      <c r="P63" s="126">
        <v>6.8999999999999997E-4</v>
      </c>
      <c r="Y63" s="244" t="s">
        <v>1742</v>
      </c>
      <c r="Z63" s="733" t="s">
        <v>836</v>
      </c>
      <c r="AA63" s="244" t="str">
        <f t="shared" si="4"/>
        <v>Nitrous Oxide|Allenox 10,000L</v>
      </c>
      <c r="AB63" s="244">
        <v>9.89</v>
      </c>
      <c r="AP63" s="159" t="s">
        <v>774</v>
      </c>
      <c r="AQ63" s="158" t="s">
        <v>753</v>
      </c>
      <c r="AR63" s="164" t="str">
        <f t="shared" si="5"/>
        <v>Small motorbike|miles</v>
      </c>
      <c r="AS63" s="299">
        <f>BR17</f>
        <v>0.13321</v>
      </c>
      <c r="AT63" s="299">
        <f t="shared" ref="AT63:AV63" si="102">BS17</f>
        <v>0.13013</v>
      </c>
      <c r="AU63" s="299">
        <f t="shared" si="102"/>
        <v>2.5999999999999999E-3</v>
      </c>
      <c r="AV63" s="299">
        <f t="shared" si="102"/>
        <v>4.8000000000000001E-4</v>
      </c>
      <c r="DK63" s="1967"/>
      <c r="DL63" s="1388" t="s">
        <v>938</v>
      </c>
      <c r="DM63" s="1389">
        <f t="shared" si="87"/>
        <v>122</v>
      </c>
      <c r="DO63" s="1968"/>
      <c r="DP63" s="123" t="s">
        <v>930</v>
      </c>
      <c r="DQ63" s="123" t="s">
        <v>202</v>
      </c>
      <c r="DR63" s="388">
        <v>1400</v>
      </c>
      <c r="EP63" s="1994"/>
      <c r="EQ63" s="1968"/>
      <c r="ER63" s="123" t="s">
        <v>753</v>
      </c>
      <c r="ES63" s="487">
        <v>1.2755300000000001</v>
      </c>
      <c r="ET63" s="487">
        <v>1.25986</v>
      </c>
      <c r="EU63" s="487">
        <v>2.5999999999999998E-4</v>
      </c>
      <c r="EV63" s="487">
        <v>1.542E-2</v>
      </c>
      <c r="EW63" s="487">
        <v>1.51495</v>
      </c>
      <c r="EX63" s="487">
        <v>1.4992799999999999</v>
      </c>
      <c r="EY63" s="487">
        <v>2.5999999999999998E-4</v>
      </c>
      <c r="EZ63" s="487">
        <v>1.542E-2</v>
      </c>
      <c r="FA63" s="487">
        <v>1.7543800000000001</v>
      </c>
      <c r="FB63" s="487">
        <v>1.7386999999999999</v>
      </c>
      <c r="FC63" s="487">
        <v>2.5999999999999998E-4</v>
      </c>
      <c r="FD63" s="487">
        <v>1.542E-2</v>
      </c>
      <c r="FE63" s="487">
        <v>1.5348299999999999</v>
      </c>
      <c r="FF63" s="487">
        <v>1.51915</v>
      </c>
      <c r="FG63" s="487">
        <v>2.5999999999999998E-4</v>
      </c>
      <c r="FH63" s="487">
        <v>1.542E-2</v>
      </c>
    </row>
    <row r="64" spans="1:164" x14ac:dyDescent="0.35">
      <c r="A64" s="1979"/>
      <c r="B64" s="158" t="s">
        <v>593</v>
      </c>
      <c r="C64" s="159" t="s">
        <v>575</v>
      </c>
      <c r="D64" s="159" t="str">
        <f t="shared" si="73"/>
        <v>Grasses/Straw/other biomass|Litres (l)</v>
      </c>
      <c r="E64" s="169" t="s">
        <v>1833</v>
      </c>
      <c r="F64" s="169" t="s">
        <v>1833</v>
      </c>
      <c r="G64" s="169" t="s">
        <v>1833</v>
      </c>
      <c r="H64" s="169" t="s">
        <v>1833</v>
      </c>
      <c r="J64" s="1977"/>
      <c r="K64" s="1982"/>
      <c r="L64" s="123" t="s">
        <v>1737</v>
      </c>
      <c r="M64" s="126">
        <v>0.26774999999999999</v>
      </c>
      <c r="N64" s="126">
        <v>0.26674999999999999</v>
      </c>
      <c r="O64" s="126">
        <v>3.5E-4</v>
      </c>
      <c r="P64" s="126">
        <v>6.4999999999999997E-4</v>
      </c>
      <c r="Y64" s="244" t="s">
        <v>1742</v>
      </c>
      <c r="Z64" s="734" t="s">
        <v>837</v>
      </c>
      <c r="AA64" s="244" t="str">
        <f t="shared" si="4"/>
        <v>Nitrous Oxide|Nitrous 950L</v>
      </c>
      <c r="AB64" s="243">
        <v>1.88</v>
      </c>
      <c r="AP64" s="159" t="s">
        <v>775</v>
      </c>
      <c r="AQ64" s="158" t="s">
        <v>751</v>
      </c>
      <c r="AR64" s="164" t="str">
        <f t="shared" si="5"/>
        <v>Medium Motorbike|passenger.km</v>
      </c>
      <c r="AS64" s="158" t="s">
        <v>1828</v>
      </c>
      <c r="AT64" s="158" t="s">
        <v>1828</v>
      </c>
      <c r="AU64" s="158" t="s">
        <v>1828</v>
      </c>
      <c r="AV64" s="158" t="s">
        <v>1828</v>
      </c>
      <c r="DK64" s="1967"/>
      <c r="DL64" s="1388" t="s">
        <v>939</v>
      </c>
      <c r="DM64" s="1389">
        <f t="shared" si="87"/>
        <v>595</v>
      </c>
      <c r="DO64" s="1968"/>
      <c r="DP64" s="123" t="s">
        <v>931</v>
      </c>
      <c r="DQ64" s="123" t="s">
        <v>202</v>
      </c>
      <c r="DR64" s="388">
        <v>5</v>
      </c>
      <c r="EP64" s="1994"/>
      <c r="EQ64" s="1968" t="s">
        <v>1795</v>
      </c>
      <c r="ER64" s="123" t="s">
        <v>1093</v>
      </c>
      <c r="ES64" s="486"/>
      <c r="ET64" s="486"/>
      <c r="EU64" s="486"/>
      <c r="EV64" s="486"/>
      <c r="EW64" s="487">
        <v>0.13955000000000001</v>
      </c>
      <c r="EX64" s="487">
        <v>0.13752</v>
      </c>
      <c r="EY64" s="487">
        <v>1.0000000000000001E-5</v>
      </c>
      <c r="EZ64" s="487">
        <v>2.0100000000000001E-3</v>
      </c>
      <c r="FA64" s="487">
        <v>8.3519999999999997E-2</v>
      </c>
      <c r="FB64" s="487">
        <v>8.251E-2</v>
      </c>
      <c r="FC64" s="487">
        <v>1.0000000000000001E-5</v>
      </c>
      <c r="FD64" s="487">
        <v>1.01E-3</v>
      </c>
      <c r="FE64" s="487">
        <v>0.16414000000000001</v>
      </c>
      <c r="FF64" s="487">
        <v>0.16167000000000001</v>
      </c>
      <c r="FG64" s="487">
        <v>2.0000000000000002E-5</v>
      </c>
      <c r="FH64" s="487">
        <v>2.4499999999999999E-3</v>
      </c>
    </row>
    <row r="65" spans="1:164" x14ac:dyDescent="0.35">
      <c r="A65" s="1979"/>
      <c r="B65" s="158" t="s">
        <v>593</v>
      </c>
      <c r="C65" s="159" t="s">
        <v>569</v>
      </c>
      <c r="D65" s="159" t="str">
        <f t="shared" si="73"/>
        <v>Grasses/Straw/other biomass|Kilograms (kg)</v>
      </c>
      <c r="E65" s="1275">
        <f>U30/1000</f>
        <v>6.0954080000000001E-2</v>
      </c>
      <c r="F65" s="1275">
        <f t="shared" ref="F65:H65" si="103">V30/1000</f>
        <v>0</v>
      </c>
      <c r="G65" s="1275">
        <f t="shared" si="103"/>
        <v>0</v>
      </c>
      <c r="H65" s="1275">
        <f t="shared" si="103"/>
        <v>0</v>
      </c>
      <c r="J65" s="1977"/>
      <c r="K65" s="1980" t="s">
        <v>1834</v>
      </c>
      <c r="L65" s="123" t="s">
        <v>316</v>
      </c>
      <c r="M65" s="131">
        <v>3229.34</v>
      </c>
      <c r="N65" s="131">
        <v>3190</v>
      </c>
      <c r="O65" s="131">
        <v>3.31</v>
      </c>
      <c r="P65" s="131">
        <v>36.03</v>
      </c>
      <c r="Y65" s="244" t="s">
        <v>1742</v>
      </c>
      <c r="Z65" s="734" t="s">
        <v>838</v>
      </c>
      <c r="AA65" s="244" t="str">
        <f t="shared" si="4"/>
        <v>Nitrous Oxide|Nitrous 1,700L</v>
      </c>
      <c r="AB65" s="243">
        <v>3.36</v>
      </c>
      <c r="AP65" s="159" t="s">
        <v>775</v>
      </c>
      <c r="AQ65" s="158" t="s">
        <v>197</v>
      </c>
      <c r="AR65" s="164" t="str">
        <f t="shared" si="5"/>
        <v>Medium Motorbike|km</v>
      </c>
      <c r="AS65" s="299">
        <f>BR18</f>
        <v>0.10086000000000001</v>
      </c>
      <c r="AT65" s="299">
        <f t="shared" ref="AT65:AV65" si="104">BS18</f>
        <v>9.8159999999999997E-2</v>
      </c>
      <c r="AU65" s="299">
        <f t="shared" si="104"/>
        <v>2.0999999999999999E-3</v>
      </c>
      <c r="AV65" s="299">
        <f t="shared" si="104"/>
        <v>5.9999999999999995E-4</v>
      </c>
      <c r="DK65" s="1967"/>
      <c r="DL65" s="1388" t="s">
        <v>940</v>
      </c>
      <c r="DM65" s="1389">
        <f t="shared" si="87"/>
        <v>151</v>
      </c>
      <c r="DO65" s="1968"/>
      <c r="DP65" s="123" t="s">
        <v>932</v>
      </c>
      <c r="DQ65" s="123" t="s">
        <v>202</v>
      </c>
      <c r="DR65" s="388">
        <v>146</v>
      </c>
      <c r="EP65" s="1994"/>
      <c r="EQ65" s="1968"/>
      <c r="ER65" s="123" t="s">
        <v>197</v>
      </c>
      <c r="ES65" s="487">
        <v>0.74751999999999996</v>
      </c>
      <c r="ET65" s="487">
        <v>0.73401000000000005</v>
      </c>
      <c r="EU65" s="487">
        <v>1E-4</v>
      </c>
      <c r="EV65" s="487">
        <v>1.341E-2</v>
      </c>
      <c r="EW65" s="487">
        <v>0.93101999999999996</v>
      </c>
      <c r="EX65" s="487">
        <v>0.91751000000000005</v>
      </c>
      <c r="EY65" s="487">
        <v>1E-4</v>
      </c>
      <c r="EZ65" s="487">
        <v>1.341E-2</v>
      </c>
      <c r="FA65" s="487">
        <v>1.11453</v>
      </c>
      <c r="FB65" s="487">
        <v>1.1010200000000001</v>
      </c>
      <c r="FC65" s="487">
        <v>1E-4</v>
      </c>
      <c r="FD65" s="487">
        <v>1.341E-2</v>
      </c>
      <c r="FE65" s="487">
        <v>0.89798999999999995</v>
      </c>
      <c r="FF65" s="487">
        <v>0.88448000000000004</v>
      </c>
      <c r="FG65" s="487">
        <v>1E-4</v>
      </c>
      <c r="FH65" s="487">
        <v>1.341E-2</v>
      </c>
    </row>
    <row r="66" spans="1:164" ht="16.5" x14ac:dyDescent="0.35">
      <c r="A66" s="1979"/>
      <c r="B66" s="158" t="s">
        <v>593</v>
      </c>
      <c r="C66" s="161" t="s">
        <v>581</v>
      </c>
      <c r="D66" s="159" t="str">
        <f t="shared" si="73"/>
        <v>Grasses/Straw/other biomass|Cubic metres (m3)</v>
      </c>
      <c r="E66" s="1275">
        <f>E65*'Fuel properties'!G45</f>
        <v>9.7526527999999999</v>
      </c>
      <c r="F66" s="1275">
        <f>F65*'Fuel properties'!G45</f>
        <v>0</v>
      </c>
      <c r="G66" s="1275">
        <f>G65*'Fuel properties'!G45</f>
        <v>0</v>
      </c>
      <c r="H66" s="1275">
        <f>H65*'Fuel properties'!G45</f>
        <v>0</v>
      </c>
      <c r="J66" s="1977"/>
      <c r="K66" s="1981"/>
      <c r="L66" s="123" t="s">
        <v>199</v>
      </c>
      <c r="M66" s="126">
        <v>2.7577600000000002</v>
      </c>
      <c r="N66" s="126">
        <v>2.72417</v>
      </c>
      <c r="O66" s="126">
        <v>2.82E-3</v>
      </c>
      <c r="P66" s="126">
        <v>3.0769999999999999E-2</v>
      </c>
      <c r="Y66" s="244" t="s">
        <v>1742</v>
      </c>
      <c r="Z66" s="734" t="s">
        <v>839</v>
      </c>
      <c r="AA66" s="244" t="str">
        <f>Y66&amp;"|"&amp;Z66</f>
        <v>Nitrous Oxide|Nitrous 17,000L</v>
      </c>
      <c r="AB66" s="243">
        <v>33.630000000000003</v>
      </c>
      <c r="AP66" s="159" t="s">
        <v>775</v>
      </c>
      <c r="AQ66" s="158" t="s">
        <v>753</v>
      </c>
      <c r="AR66" s="164" t="str">
        <f t="shared" si="5"/>
        <v>Medium Motorbike|miles</v>
      </c>
      <c r="AS66" s="299">
        <f>BR19</f>
        <v>0.1623</v>
      </c>
      <c r="AT66" s="299">
        <f t="shared" ref="AT66:AV66" si="105">BS19</f>
        <v>0.15797</v>
      </c>
      <c r="AU66" s="299">
        <f t="shared" si="105"/>
        <v>3.3700000000000002E-3</v>
      </c>
      <c r="AV66" s="299">
        <f t="shared" si="105"/>
        <v>9.6000000000000002E-4</v>
      </c>
      <c r="DK66" s="1967" t="s">
        <v>1835</v>
      </c>
      <c r="DL66" s="1388" t="s">
        <v>941</v>
      </c>
      <c r="DM66" s="1389">
        <f>DR78</f>
        <v>17200</v>
      </c>
      <c r="DO66" s="1968"/>
      <c r="DP66" s="123" t="s">
        <v>933</v>
      </c>
      <c r="DQ66" s="123" t="s">
        <v>202</v>
      </c>
      <c r="DR66" s="388">
        <v>1810</v>
      </c>
      <c r="EP66" s="1994"/>
      <c r="EQ66" s="1968"/>
      <c r="ER66" s="123" t="s">
        <v>753</v>
      </c>
      <c r="ES66" s="487">
        <v>1.20302</v>
      </c>
      <c r="ET66" s="487">
        <v>1.18127</v>
      </c>
      <c r="EU66" s="487">
        <v>1.6000000000000001E-4</v>
      </c>
      <c r="EV66" s="487">
        <v>2.1590000000000002E-2</v>
      </c>
      <c r="EW66" s="487">
        <v>1.49834</v>
      </c>
      <c r="EX66" s="487">
        <v>1.4765900000000001</v>
      </c>
      <c r="EY66" s="487">
        <v>1.6000000000000001E-4</v>
      </c>
      <c r="EZ66" s="487">
        <v>2.1590000000000002E-2</v>
      </c>
      <c r="FA66" s="487">
        <v>1.79366</v>
      </c>
      <c r="FB66" s="487">
        <v>1.7719100000000001</v>
      </c>
      <c r="FC66" s="487">
        <v>1.6000000000000001E-4</v>
      </c>
      <c r="FD66" s="487">
        <v>2.1590000000000002E-2</v>
      </c>
      <c r="FE66" s="487">
        <v>1.4451799999999999</v>
      </c>
      <c r="FF66" s="487">
        <v>1.42344</v>
      </c>
      <c r="FG66" s="487">
        <v>1.6000000000000001E-4</v>
      </c>
      <c r="FH66" s="487">
        <v>2.1590000000000002E-2</v>
      </c>
    </row>
    <row r="67" spans="1:164" x14ac:dyDescent="0.35">
      <c r="A67" s="1979"/>
      <c r="B67" s="158" t="s">
        <v>596</v>
      </c>
      <c r="C67" s="159" t="s">
        <v>563</v>
      </c>
      <c r="D67" s="159" t="str">
        <f t="shared" si="73"/>
        <v>Other solid fuel|Kilowatt hours (KWh)</v>
      </c>
      <c r="E67" s="1280" t="s">
        <v>1836</v>
      </c>
      <c r="F67" s="1280" t="s">
        <v>1836</v>
      </c>
      <c r="G67" s="1280" t="s">
        <v>1836</v>
      </c>
      <c r="H67" s="1280" t="s">
        <v>1836</v>
      </c>
      <c r="J67" s="1977"/>
      <c r="K67" s="1981"/>
      <c r="L67" s="123" t="s">
        <v>1733</v>
      </c>
      <c r="M67" s="126">
        <v>0.27310000000000001</v>
      </c>
      <c r="N67" s="126">
        <v>0.26978000000000002</v>
      </c>
      <c r="O67" s="126">
        <v>2.7999999999999998E-4</v>
      </c>
      <c r="P67" s="126">
        <v>3.0500000000000002E-3</v>
      </c>
      <c r="AP67" s="159" t="s">
        <v>776</v>
      </c>
      <c r="AQ67" s="158" t="s">
        <v>751</v>
      </c>
      <c r="AR67" s="164" t="str">
        <f t="shared" si="5"/>
        <v>Large Motorbike|passenger.km</v>
      </c>
      <c r="AS67" s="158" t="s">
        <v>1828</v>
      </c>
      <c r="AT67" s="158" t="s">
        <v>1828</v>
      </c>
      <c r="AU67" s="158" t="s">
        <v>1828</v>
      </c>
      <c r="AV67" s="158" t="s">
        <v>1828</v>
      </c>
      <c r="DK67" s="1967"/>
      <c r="DL67" s="1388" t="s">
        <v>942</v>
      </c>
      <c r="DM67" s="1389">
        <f t="shared" ref="DM67:DM69" si="106">DR79</f>
        <v>7500</v>
      </c>
      <c r="DO67" s="1968"/>
      <c r="DP67" s="123" t="s">
        <v>934</v>
      </c>
      <c r="DQ67" s="123" t="s">
        <v>202</v>
      </c>
      <c r="DR67" s="388">
        <v>77</v>
      </c>
      <c r="EP67" s="1994"/>
      <c r="EQ67" s="1968" t="s">
        <v>1798</v>
      </c>
      <c r="ER67" s="123" t="s">
        <v>1093</v>
      </c>
      <c r="ES67" s="486"/>
      <c r="ET67" s="486"/>
      <c r="EU67" s="486"/>
      <c r="EV67" s="486"/>
      <c r="EW67" s="487">
        <v>0.10775</v>
      </c>
      <c r="EX67" s="487">
        <v>0.10602</v>
      </c>
      <c r="EY67" s="487">
        <v>1.0000000000000001E-5</v>
      </c>
      <c r="EZ67" s="487">
        <v>1.72E-3</v>
      </c>
      <c r="FA67" s="487">
        <v>6.7129999999999995E-2</v>
      </c>
      <c r="FB67" s="487">
        <v>6.6259999999999999E-2</v>
      </c>
      <c r="FC67" s="487">
        <v>1.0000000000000001E-5</v>
      </c>
      <c r="FD67" s="487">
        <v>8.5999999999999998E-4</v>
      </c>
      <c r="FE67" s="487">
        <v>8.9980000000000004E-2</v>
      </c>
      <c r="FF67" s="487">
        <v>8.863E-2</v>
      </c>
      <c r="FG67" s="487">
        <v>1.0000000000000001E-5</v>
      </c>
      <c r="FH67" s="487">
        <v>1.34E-3</v>
      </c>
    </row>
    <row r="68" spans="1:164" x14ac:dyDescent="0.35">
      <c r="A68" s="1979"/>
      <c r="B68" s="158" t="s">
        <v>596</v>
      </c>
      <c r="C68" s="159" t="s">
        <v>575</v>
      </c>
      <c r="D68" s="159" t="str">
        <f t="shared" si="73"/>
        <v>Other solid fuel|Litres (l)</v>
      </c>
      <c r="E68" s="1280" t="s">
        <v>1836</v>
      </c>
      <c r="F68" s="1280" t="s">
        <v>1836</v>
      </c>
      <c r="G68" s="1280" t="s">
        <v>1836</v>
      </c>
      <c r="H68" s="1280" t="s">
        <v>1836</v>
      </c>
      <c r="J68" s="1977"/>
      <c r="K68" s="1982"/>
      <c r="L68" s="123" t="s">
        <v>1737</v>
      </c>
      <c r="M68" s="126">
        <v>0.25672</v>
      </c>
      <c r="N68" s="126">
        <v>0.25358999999999998</v>
      </c>
      <c r="O68" s="126">
        <v>2.5999999999999998E-4</v>
      </c>
      <c r="P68" s="126">
        <v>2.8600000000000001E-3</v>
      </c>
      <c r="AP68" s="159" t="s">
        <v>776</v>
      </c>
      <c r="AQ68" s="158" t="s">
        <v>197</v>
      </c>
      <c r="AR68" s="164" t="str">
        <f t="shared" si="5"/>
        <v>Large Motorbike|km</v>
      </c>
      <c r="AS68" s="299">
        <f>BR20</f>
        <v>0.13236999999999999</v>
      </c>
      <c r="AT68" s="299">
        <f t="shared" ref="AT68:AV68" si="107">BS20</f>
        <v>0.13058</v>
      </c>
      <c r="AU68" s="299">
        <f t="shared" si="107"/>
        <v>1.1900000000000001E-3</v>
      </c>
      <c r="AV68" s="299">
        <f t="shared" si="107"/>
        <v>5.9999999999999995E-4</v>
      </c>
      <c r="DK68" s="1967"/>
      <c r="DL68" s="1388" t="s">
        <v>943</v>
      </c>
      <c r="DM68" s="1389">
        <f t="shared" si="106"/>
        <v>17700</v>
      </c>
      <c r="DO68" s="1968"/>
      <c r="DP68" s="123" t="s">
        <v>935</v>
      </c>
      <c r="DQ68" s="123" t="s">
        <v>202</v>
      </c>
      <c r="DR68" s="388">
        <v>609</v>
      </c>
      <c r="EP68" s="1994"/>
      <c r="EQ68" s="1968"/>
      <c r="ER68" s="123" t="s">
        <v>197</v>
      </c>
      <c r="ES68" s="487">
        <v>0.75427</v>
      </c>
      <c r="ET68" s="487">
        <v>0.73819000000000001</v>
      </c>
      <c r="EU68" s="487">
        <v>1.2E-4</v>
      </c>
      <c r="EV68" s="487">
        <v>1.5959999999999998E-2</v>
      </c>
      <c r="EW68" s="487">
        <v>1.00034</v>
      </c>
      <c r="EX68" s="487">
        <v>0.98426000000000002</v>
      </c>
      <c r="EY68" s="487">
        <v>1.2E-4</v>
      </c>
      <c r="EZ68" s="487">
        <v>1.5959999999999998E-2</v>
      </c>
      <c r="FA68" s="487">
        <v>1.2464</v>
      </c>
      <c r="FB68" s="487">
        <v>1.2303200000000001</v>
      </c>
      <c r="FC68" s="487">
        <v>1.2E-4</v>
      </c>
      <c r="FD68" s="487">
        <v>1.5959999999999998E-2</v>
      </c>
      <c r="FE68" s="487">
        <v>1.06924</v>
      </c>
      <c r="FF68" s="487">
        <v>1.0531600000000001</v>
      </c>
      <c r="FG68" s="487">
        <v>1.2E-4</v>
      </c>
      <c r="FH68" s="487">
        <v>1.5959999999999998E-2</v>
      </c>
    </row>
    <row r="69" spans="1:164" x14ac:dyDescent="0.35">
      <c r="A69" s="1979"/>
      <c r="B69" s="158" t="s">
        <v>596</v>
      </c>
      <c r="C69" s="159" t="s">
        <v>569</v>
      </c>
      <c r="D69" s="159" t="str">
        <f t="shared" si="73"/>
        <v>Other solid fuel|Kilograms (kg)</v>
      </c>
      <c r="E69" s="1280" t="s">
        <v>1836</v>
      </c>
      <c r="F69" s="1280" t="s">
        <v>1836</v>
      </c>
      <c r="G69" s="1280" t="s">
        <v>1836</v>
      </c>
      <c r="H69" s="1280" t="s">
        <v>1836</v>
      </c>
      <c r="J69" s="1977"/>
      <c r="K69" s="1980" t="s">
        <v>1837</v>
      </c>
      <c r="L69" s="123" t="s">
        <v>316</v>
      </c>
      <c r="M69" s="131">
        <v>3181.42</v>
      </c>
      <c r="N69" s="131">
        <v>3171.09</v>
      </c>
      <c r="O69" s="131">
        <v>3.05</v>
      </c>
      <c r="P69" s="131">
        <v>7.28</v>
      </c>
      <c r="AP69" s="159" t="s">
        <v>776</v>
      </c>
      <c r="AQ69" s="158" t="s">
        <v>753</v>
      </c>
      <c r="AR69" s="164" t="str">
        <f t="shared" si="5"/>
        <v>Large Motorbike|miles</v>
      </c>
      <c r="AS69" s="299">
        <f>BR21</f>
        <v>0.21301999999999999</v>
      </c>
      <c r="AT69" s="299">
        <f t="shared" ref="AT69:AV69" si="108">BS21</f>
        <v>0.21015</v>
      </c>
      <c r="AU69" s="299">
        <f t="shared" si="108"/>
        <v>1.91E-3</v>
      </c>
      <c r="AV69" s="299">
        <f t="shared" si="108"/>
        <v>9.6000000000000002E-4</v>
      </c>
      <c r="DK69" s="1967"/>
      <c r="DL69" s="1388" t="s">
        <v>944</v>
      </c>
      <c r="DM69" s="1389">
        <f t="shared" si="106"/>
        <v>17340</v>
      </c>
      <c r="DO69" s="1968"/>
      <c r="DP69" s="123" t="s">
        <v>936</v>
      </c>
      <c r="DQ69" s="123" t="s">
        <v>202</v>
      </c>
      <c r="DR69" s="388">
        <v>725</v>
      </c>
      <c r="EP69" s="1994"/>
      <c r="EQ69" s="1968"/>
      <c r="ER69" s="123" t="s">
        <v>753</v>
      </c>
      <c r="ES69" s="487">
        <v>1.2138800000000001</v>
      </c>
      <c r="ET69" s="487">
        <v>1.18801</v>
      </c>
      <c r="EU69" s="487">
        <v>1.9000000000000001E-4</v>
      </c>
      <c r="EV69" s="487">
        <v>2.5690000000000001E-2</v>
      </c>
      <c r="EW69" s="487">
        <v>1.60989</v>
      </c>
      <c r="EX69" s="487">
        <v>1.5840099999999999</v>
      </c>
      <c r="EY69" s="487">
        <v>1.9000000000000001E-4</v>
      </c>
      <c r="EZ69" s="487">
        <v>2.5690000000000001E-2</v>
      </c>
      <c r="FA69" s="487">
        <v>2.00589</v>
      </c>
      <c r="FB69" s="487">
        <v>1.9800199999999999</v>
      </c>
      <c r="FC69" s="487">
        <v>1.9000000000000001E-4</v>
      </c>
      <c r="FD69" s="487">
        <v>2.5690000000000001E-2</v>
      </c>
      <c r="FE69" s="487">
        <v>1.7207699999999999</v>
      </c>
      <c r="FF69" s="487">
        <v>1.69489</v>
      </c>
      <c r="FG69" s="487">
        <v>1.9000000000000001E-4</v>
      </c>
      <c r="FH69" s="487">
        <v>2.5690000000000001E-2</v>
      </c>
    </row>
    <row r="70" spans="1:164" ht="16.5" x14ac:dyDescent="0.35">
      <c r="A70" s="1979"/>
      <c r="B70" s="158" t="s">
        <v>596</v>
      </c>
      <c r="C70" s="161" t="s">
        <v>581</v>
      </c>
      <c r="D70" s="159" t="str">
        <f t="shared" si="73"/>
        <v>Other solid fuel|Cubic metres (m3)</v>
      </c>
      <c r="E70" s="1280" t="s">
        <v>1836</v>
      </c>
      <c r="F70" s="1280" t="s">
        <v>1836</v>
      </c>
      <c r="G70" s="1280" t="s">
        <v>1836</v>
      </c>
      <c r="H70" s="1280" t="s">
        <v>1836</v>
      </c>
      <c r="J70" s="1977"/>
      <c r="K70" s="1981"/>
      <c r="L70" s="123" t="s">
        <v>199</v>
      </c>
      <c r="M70" s="132" t="s">
        <v>1838</v>
      </c>
      <c r="N70" s="132" t="s">
        <v>1838</v>
      </c>
      <c r="O70" s="132" t="s">
        <v>1838</v>
      </c>
      <c r="P70" s="132" t="s">
        <v>1838</v>
      </c>
      <c r="AP70" s="159" t="s">
        <v>777</v>
      </c>
      <c r="AQ70" s="158" t="s">
        <v>751</v>
      </c>
      <c r="AR70" s="164" t="str">
        <f t="shared" si="5"/>
        <v>Taxi (car)|passenger.km</v>
      </c>
      <c r="AS70" s="299">
        <f>BR24</f>
        <v>0.14549000000000001</v>
      </c>
      <c r="AT70" s="299">
        <f t="shared" ref="AT70:AV70" si="109">BS24</f>
        <v>0.14418</v>
      </c>
      <c r="AU70" s="299">
        <f t="shared" si="109"/>
        <v>2.4899999999999999E-6</v>
      </c>
      <c r="AV70" s="299">
        <f t="shared" si="109"/>
        <v>1.31E-3</v>
      </c>
      <c r="DK70" s="1967" t="s">
        <v>1839</v>
      </c>
      <c r="DL70" s="1388" t="s">
        <v>945</v>
      </c>
      <c r="DM70" s="1389">
        <f>DR86</f>
        <v>14900</v>
      </c>
      <c r="DO70" s="1968"/>
      <c r="DP70" s="123" t="s">
        <v>937</v>
      </c>
      <c r="DQ70" s="123" t="s">
        <v>202</v>
      </c>
      <c r="DR70" s="388">
        <v>2310</v>
      </c>
      <c r="EP70" s="1994"/>
      <c r="EQ70" s="1968" t="s">
        <v>1803</v>
      </c>
      <c r="ER70" s="123" t="s">
        <v>1093</v>
      </c>
      <c r="ES70" s="486"/>
      <c r="ET70" s="486"/>
      <c r="EU70" s="486"/>
      <c r="EV70" s="486"/>
      <c r="EW70" s="487">
        <v>0.10883</v>
      </c>
      <c r="EX70" s="487">
        <v>0.10709</v>
      </c>
      <c r="EY70" s="487">
        <v>1.0000000000000001E-5</v>
      </c>
      <c r="EZ70" s="487">
        <v>1.73E-3</v>
      </c>
      <c r="FA70" s="487">
        <v>6.7669999999999994E-2</v>
      </c>
      <c r="FB70" s="487">
        <v>6.6790000000000002E-2</v>
      </c>
      <c r="FC70" s="487">
        <v>1.0000000000000001E-5</v>
      </c>
      <c r="FD70" s="487">
        <v>8.5999999999999998E-4</v>
      </c>
      <c r="FE70" s="487">
        <v>9.1869999999999993E-2</v>
      </c>
      <c r="FF70" s="487">
        <v>9.0480000000000005E-2</v>
      </c>
      <c r="FG70" s="487">
        <v>1.0000000000000001E-5</v>
      </c>
      <c r="FH70" s="487">
        <v>1.3699999999999999E-3</v>
      </c>
    </row>
    <row r="71" spans="1:164" x14ac:dyDescent="0.35">
      <c r="A71" s="1979" t="s">
        <v>251</v>
      </c>
      <c r="B71" s="158" t="s">
        <v>590</v>
      </c>
      <c r="C71" s="159" t="s">
        <v>563</v>
      </c>
      <c r="D71" s="159" t="str">
        <f t="shared" ref="D71:D110" si="110">B71&amp;"|"&amp;C71</f>
        <v>Kerosene or Burning oil|Kilowatt hours (KWh)</v>
      </c>
      <c r="E71" s="1276">
        <f>M52</f>
        <v>0.24665999999999999</v>
      </c>
      <c r="F71" s="1276">
        <f>N52</f>
        <v>0.24543999999999999</v>
      </c>
      <c r="G71" s="1276">
        <f>O52</f>
        <v>6.0999999999999997E-4</v>
      </c>
      <c r="H71" s="1276">
        <f>P52</f>
        <v>6.0999999999999997E-4</v>
      </c>
      <c r="J71" s="1977"/>
      <c r="K71" s="1981"/>
      <c r="L71" s="123" t="s">
        <v>1733</v>
      </c>
      <c r="M71" s="126">
        <v>0.28131</v>
      </c>
      <c r="N71" s="126">
        <v>0.28038999999999997</v>
      </c>
      <c r="O71" s="126">
        <v>2.7E-4</v>
      </c>
      <c r="P71" s="126">
        <v>6.4000000000000005E-4</v>
      </c>
      <c r="AP71" s="159" t="s">
        <v>777</v>
      </c>
      <c r="AQ71" s="158" t="s">
        <v>197</v>
      </c>
      <c r="AR71" s="164" t="str">
        <f t="shared" si="5"/>
        <v>Taxi (car)|km</v>
      </c>
      <c r="AS71" s="299">
        <f>BR25</f>
        <v>0.20369000000000001</v>
      </c>
      <c r="AT71" s="299">
        <f t="shared" ref="AT71:AV71" si="111">BS25</f>
        <v>0.20185</v>
      </c>
      <c r="AU71" s="299">
        <f t="shared" si="111"/>
        <v>3.49E-6</v>
      </c>
      <c r="AV71" s="299">
        <f t="shared" si="111"/>
        <v>1.8400000000000001E-3</v>
      </c>
      <c r="DK71" s="1967"/>
      <c r="DL71" s="1388" t="s">
        <v>946</v>
      </c>
      <c r="DM71" s="1389">
        <f t="shared" ref="DM71:DM84" si="112">DR87</f>
        <v>6320</v>
      </c>
      <c r="DO71" s="1968"/>
      <c r="DP71" s="123" t="s">
        <v>938</v>
      </c>
      <c r="DQ71" s="123" t="s">
        <v>202</v>
      </c>
      <c r="DR71" s="388">
        <v>122</v>
      </c>
      <c r="EP71" s="1994"/>
      <c r="EQ71" s="1968"/>
      <c r="ER71" s="123" t="s">
        <v>197</v>
      </c>
      <c r="ES71" s="487">
        <v>0.75390999999999997</v>
      </c>
      <c r="ET71" s="487">
        <v>0.73797000000000001</v>
      </c>
      <c r="EU71" s="487">
        <v>1.1E-4</v>
      </c>
      <c r="EV71" s="487">
        <v>1.583E-2</v>
      </c>
      <c r="EW71" s="487">
        <v>0.99660000000000004</v>
      </c>
      <c r="EX71" s="487">
        <v>0.98065999999999998</v>
      </c>
      <c r="EY71" s="487">
        <v>1.1E-4</v>
      </c>
      <c r="EZ71" s="487">
        <v>1.583E-2</v>
      </c>
      <c r="FA71" s="487">
        <v>1.23929</v>
      </c>
      <c r="FB71" s="487">
        <v>1.2233499999999999</v>
      </c>
      <c r="FC71" s="487">
        <v>1.1E-4</v>
      </c>
      <c r="FD71" s="487">
        <v>1.583E-2</v>
      </c>
      <c r="FE71" s="487">
        <v>1.06</v>
      </c>
      <c r="FF71" s="487">
        <v>1.04406</v>
      </c>
      <c r="FG71" s="487">
        <v>1.1E-4</v>
      </c>
      <c r="FH71" s="487">
        <v>1.583E-2</v>
      </c>
    </row>
    <row r="72" spans="1:164" x14ac:dyDescent="0.35">
      <c r="A72" s="1979"/>
      <c r="B72" s="158" t="s">
        <v>590</v>
      </c>
      <c r="C72" s="159" t="s">
        <v>575</v>
      </c>
      <c r="D72" s="159" t="str">
        <f t="shared" si="110"/>
        <v>Kerosene or Burning oil|Litres (l)</v>
      </c>
      <c r="E72" s="1276">
        <f>M50</f>
        <v>2.5403899999999999</v>
      </c>
      <c r="F72" s="1276">
        <f>N50</f>
        <v>2.5278200000000002</v>
      </c>
      <c r="G72" s="1276">
        <f>O50</f>
        <v>6.2700000000000004E-3</v>
      </c>
      <c r="H72" s="1276">
        <f>P50</f>
        <v>6.3E-3</v>
      </c>
      <c r="J72" s="1977"/>
      <c r="K72" s="1982"/>
      <c r="L72" s="123" t="s">
        <v>1737</v>
      </c>
      <c r="M72" s="126">
        <v>0.26443</v>
      </c>
      <c r="N72" s="126">
        <v>0.26357000000000003</v>
      </c>
      <c r="O72" s="126">
        <v>2.5000000000000001E-4</v>
      </c>
      <c r="P72" s="126">
        <v>6.0999999999999997E-4</v>
      </c>
      <c r="AP72" s="159" t="s">
        <v>777</v>
      </c>
      <c r="AQ72" s="158" t="s">
        <v>753</v>
      </c>
      <c r="AR72" s="164" t="str">
        <f t="shared" si="5"/>
        <v>Taxi (car)|miles</v>
      </c>
      <c r="AS72" s="158" t="s">
        <v>1840</v>
      </c>
      <c r="AT72" s="158" t="s">
        <v>1840</v>
      </c>
      <c r="AU72" s="158" t="s">
        <v>1840</v>
      </c>
      <c r="AV72" s="158" t="s">
        <v>1840</v>
      </c>
      <c r="DK72" s="1967"/>
      <c r="DL72" s="1388" t="s">
        <v>947</v>
      </c>
      <c r="DM72" s="1389">
        <f t="shared" si="112"/>
        <v>756</v>
      </c>
      <c r="DO72" s="1968"/>
      <c r="DP72" s="123" t="s">
        <v>939</v>
      </c>
      <c r="DQ72" s="123" t="s">
        <v>202</v>
      </c>
      <c r="DR72" s="388">
        <v>595</v>
      </c>
      <c r="EP72" s="1994"/>
      <c r="EQ72" s="1968"/>
      <c r="ER72" s="123" t="s">
        <v>753</v>
      </c>
      <c r="ES72" s="487">
        <v>1.2133</v>
      </c>
      <c r="ET72" s="487">
        <v>1.1876500000000001</v>
      </c>
      <c r="EU72" s="487">
        <v>1.8000000000000001E-4</v>
      </c>
      <c r="EV72" s="487">
        <v>2.547E-2</v>
      </c>
      <c r="EW72" s="487">
        <v>1.6038699999999999</v>
      </c>
      <c r="EX72" s="487">
        <v>1.57822</v>
      </c>
      <c r="EY72" s="487">
        <v>1.8000000000000001E-4</v>
      </c>
      <c r="EZ72" s="487">
        <v>2.547E-2</v>
      </c>
      <c r="FA72" s="487">
        <v>1.99444</v>
      </c>
      <c r="FB72" s="487">
        <v>1.96879</v>
      </c>
      <c r="FC72" s="487">
        <v>1.8000000000000001E-4</v>
      </c>
      <c r="FD72" s="487">
        <v>2.547E-2</v>
      </c>
      <c r="FE72" s="487">
        <v>1.7059</v>
      </c>
      <c r="FF72" s="487">
        <v>1.68024</v>
      </c>
      <c r="FG72" s="487">
        <v>1.8000000000000001E-4</v>
      </c>
      <c r="FH72" s="487">
        <v>2.547E-2</v>
      </c>
    </row>
    <row r="73" spans="1:164" x14ac:dyDescent="0.35">
      <c r="A73" s="1979"/>
      <c r="B73" s="158" t="s">
        <v>590</v>
      </c>
      <c r="C73" s="159" t="s">
        <v>569</v>
      </c>
      <c r="D73" s="159" t="str">
        <f t="shared" si="110"/>
        <v>Kerosene or Burning oil|Kilograms (kg)</v>
      </c>
      <c r="E73" s="169">
        <f>M49/1000</f>
        <v>3.1653200000000004</v>
      </c>
      <c r="F73" s="169">
        <f>N49/1000</f>
        <v>3.14967</v>
      </c>
      <c r="G73" s="169">
        <f>O49/1000</f>
        <v>7.8099999999999992E-3</v>
      </c>
      <c r="H73" s="169">
        <f>P49/1000</f>
        <v>7.8499999999999993E-3</v>
      </c>
      <c r="J73" s="1977"/>
      <c r="K73" s="1980" t="s">
        <v>597</v>
      </c>
      <c r="L73" s="123" t="s">
        <v>316</v>
      </c>
      <c r="M73" s="131">
        <v>3142.87</v>
      </c>
      <c r="N73" s="131">
        <v>3131.33</v>
      </c>
      <c r="O73" s="131">
        <v>3.41</v>
      </c>
      <c r="P73" s="131">
        <v>8.1300000000000008</v>
      </c>
      <c r="AP73" s="159" t="s">
        <v>778</v>
      </c>
      <c r="AQ73" s="158" t="s">
        <v>751</v>
      </c>
      <c r="AR73" s="164" t="str">
        <f t="shared" si="5"/>
        <v>Local bus |passenger.km</v>
      </c>
      <c r="AS73" s="299">
        <f>BR30</f>
        <v>0.11950000000000001</v>
      </c>
      <c r="AT73" s="299">
        <f t="shared" ref="AT73:AV73" si="113">BS30</f>
        <v>0.11848</v>
      </c>
      <c r="AU73" s="299">
        <f t="shared" si="113"/>
        <v>2.0000000000000002E-5</v>
      </c>
      <c r="AV73" s="299">
        <f t="shared" si="113"/>
        <v>1E-3</v>
      </c>
      <c r="DK73" s="1967"/>
      <c r="DL73" s="1388" t="s">
        <v>948</v>
      </c>
      <c r="DM73" s="1389">
        <f t="shared" si="112"/>
        <v>350</v>
      </c>
      <c r="DO73" s="1968"/>
      <c r="DP73" s="123" t="s">
        <v>940</v>
      </c>
      <c r="DQ73" s="123" t="s">
        <v>202</v>
      </c>
      <c r="DR73" s="388">
        <v>151</v>
      </c>
      <c r="EP73" s="1994"/>
      <c r="EQ73" s="1968" t="s">
        <v>1808</v>
      </c>
      <c r="ER73" s="123" t="s">
        <v>1093</v>
      </c>
      <c r="ES73" s="486"/>
      <c r="ET73" s="486"/>
      <c r="EU73" s="486"/>
      <c r="EV73" s="486"/>
      <c r="EW73" s="487">
        <v>0.14606</v>
      </c>
      <c r="EX73" s="487">
        <v>0.14407</v>
      </c>
      <c r="EY73" s="487">
        <v>2.0000000000000002E-5</v>
      </c>
      <c r="EZ73" s="487">
        <v>1.9599999999999999E-3</v>
      </c>
      <c r="FA73" s="487">
        <v>8.8200000000000001E-2</v>
      </c>
      <c r="FB73" s="487">
        <v>8.7209999999999996E-2</v>
      </c>
      <c r="FC73" s="487">
        <v>1.0000000000000001E-5</v>
      </c>
      <c r="FD73" s="487">
        <v>9.7999999999999997E-4</v>
      </c>
      <c r="FE73" s="487">
        <v>0.12481</v>
      </c>
      <c r="FF73" s="487">
        <v>0.12318</v>
      </c>
      <c r="FG73" s="487">
        <v>2.0000000000000002E-5</v>
      </c>
      <c r="FH73" s="487">
        <v>1.6100000000000001E-3</v>
      </c>
    </row>
    <row r="74" spans="1:164" ht="16.5" x14ac:dyDescent="0.35">
      <c r="A74" s="1979"/>
      <c r="B74" s="158" t="s">
        <v>590</v>
      </c>
      <c r="C74" s="161" t="s">
        <v>581</v>
      </c>
      <c r="D74" s="159" t="str">
        <f t="shared" si="110"/>
        <v>Kerosene or Burning oil|Cubic metres (m3)</v>
      </c>
      <c r="E74" s="1278">
        <f>E73*'Fuel properties'!G15</f>
        <v>2540.38454176</v>
      </c>
      <c r="F74" s="1278">
        <f>F73*'Fuel properties'!G15</f>
        <v>2527.8243525600001</v>
      </c>
      <c r="G74" s="1278">
        <f>G73*'Fuel properties'!G15</f>
        <v>6.2680560799999991</v>
      </c>
      <c r="H74" s="1278">
        <f>H73*'Fuel properties'!G15</f>
        <v>6.3001587999999993</v>
      </c>
      <c r="J74" s="1977"/>
      <c r="K74" s="1981"/>
      <c r="L74" s="123" t="s">
        <v>199</v>
      </c>
      <c r="M74" s="132" t="s">
        <v>1838</v>
      </c>
      <c r="N74" s="132" t="s">
        <v>1838</v>
      </c>
      <c r="O74" s="132" t="s">
        <v>1838</v>
      </c>
      <c r="P74" s="132" t="s">
        <v>1838</v>
      </c>
      <c r="AP74" s="159" t="s">
        <v>778</v>
      </c>
      <c r="AQ74" s="158" t="s">
        <v>197</v>
      </c>
      <c r="AR74" s="164" t="str">
        <f t="shared" si="5"/>
        <v>Local bus |km</v>
      </c>
      <c r="AS74" s="158" t="s">
        <v>1724</v>
      </c>
      <c r="AT74" s="158" t="s">
        <v>1724</v>
      </c>
      <c r="AU74" s="158" t="s">
        <v>1724</v>
      </c>
      <c r="AV74" s="158" t="s">
        <v>1724</v>
      </c>
      <c r="DK74" s="1967"/>
      <c r="DL74" s="1388" t="s">
        <v>949</v>
      </c>
      <c r="DM74" s="1389">
        <f t="shared" si="112"/>
        <v>708</v>
      </c>
      <c r="DO74" s="330"/>
      <c r="DP74" s="128"/>
      <c r="DQ74" s="128"/>
      <c r="DR74" s="128"/>
      <c r="EP74" s="1994"/>
      <c r="EQ74" s="1968"/>
      <c r="ER74" s="123" t="s">
        <v>197</v>
      </c>
      <c r="ES74" s="487">
        <v>0.77071999999999996</v>
      </c>
      <c r="ET74" s="487">
        <v>0.75749999999999995</v>
      </c>
      <c r="EU74" s="487">
        <v>1.2999999999999999E-4</v>
      </c>
      <c r="EV74" s="487">
        <v>1.308E-2</v>
      </c>
      <c r="EW74" s="487">
        <v>0.97285999999999995</v>
      </c>
      <c r="EX74" s="487">
        <v>0.95964000000000005</v>
      </c>
      <c r="EY74" s="487">
        <v>1.2999999999999999E-4</v>
      </c>
      <c r="EZ74" s="487">
        <v>1.308E-2</v>
      </c>
      <c r="FA74" s="487">
        <v>1.175</v>
      </c>
      <c r="FB74" s="487">
        <v>1.16178</v>
      </c>
      <c r="FC74" s="487">
        <v>1.2999999999999999E-4</v>
      </c>
      <c r="FD74" s="487">
        <v>1.308E-2</v>
      </c>
      <c r="FE74" s="487">
        <v>1.0142</v>
      </c>
      <c r="FF74" s="487">
        <v>1.00099</v>
      </c>
      <c r="FG74" s="487">
        <v>1.2999999999999999E-4</v>
      </c>
      <c r="FH74" s="487">
        <v>1.308E-2</v>
      </c>
    </row>
    <row r="75" spans="1:164" x14ac:dyDescent="0.35">
      <c r="A75" s="1979"/>
      <c r="B75" s="158" t="s">
        <v>572</v>
      </c>
      <c r="C75" s="159" t="s">
        <v>563</v>
      </c>
      <c r="D75" s="159" t="str">
        <f t="shared" si="110"/>
        <v>Generator Diesel or Gas oil|Kilowatt hours (KWh)</v>
      </c>
      <c r="E75" s="1276">
        <f>M68</f>
        <v>0.25672</v>
      </c>
      <c r="F75" s="1276">
        <f>N68</f>
        <v>0.25358999999999998</v>
      </c>
      <c r="G75" s="1276">
        <f>O68</f>
        <v>2.5999999999999998E-4</v>
      </c>
      <c r="H75" s="1276">
        <f>P68</f>
        <v>2.8600000000000001E-3</v>
      </c>
      <c r="J75" s="1977"/>
      <c r="K75" s="1981"/>
      <c r="L75" s="123" t="s">
        <v>1733</v>
      </c>
      <c r="M75" s="126">
        <v>0.24898000000000001</v>
      </c>
      <c r="N75" s="126">
        <v>0.24807000000000001</v>
      </c>
      <c r="O75" s="126">
        <v>2.7E-4</v>
      </c>
      <c r="P75" s="126">
        <v>6.4000000000000005E-4</v>
      </c>
      <c r="AP75" s="159" t="s">
        <v>778</v>
      </c>
      <c r="AQ75" s="158" t="s">
        <v>753</v>
      </c>
      <c r="AR75" s="164" t="str">
        <f t="shared" si="5"/>
        <v>Local bus |miles</v>
      </c>
      <c r="AS75" s="158" t="s">
        <v>1724</v>
      </c>
      <c r="AT75" s="158" t="s">
        <v>1724</v>
      </c>
      <c r="AU75" s="158" t="s">
        <v>1724</v>
      </c>
      <c r="AV75" s="158" t="s">
        <v>1724</v>
      </c>
      <c r="DK75" s="1967"/>
      <c r="DL75" s="1388" t="s">
        <v>950</v>
      </c>
      <c r="DM75" s="1389">
        <f t="shared" si="112"/>
        <v>659</v>
      </c>
      <c r="DO75" s="330"/>
      <c r="DP75" s="128"/>
      <c r="DQ75" s="128"/>
      <c r="DR75" s="128"/>
      <c r="EP75" s="1994"/>
      <c r="EQ75" s="1968"/>
      <c r="ER75" s="123" t="s">
        <v>753</v>
      </c>
      <c r="ES75" s="487">
        <v>1.2403599999999999</v>
      </c>
      <c r="ET75" s="487">
        <v>1.2190799999999999</v>
      </c>
      <c r="EU75" s="487">
        <v>2.2000000000000001E-4</v>
      </c>
      <c r="EV75" s="487">
        <v>2.1059999999999999E-2</v>
      </c>
      <c r="EW75" s="487">
        <v>1.5656699999999999</v>
      </c>
      <c r="EX75" s="487">
        <v>1.5443899999999999</v>
      </c>
      <c r="EY75" s="487">
        <v>2.2000000000000001E-4</v>
      </c>
      <c r="EZ75" s="487">
        <v>2.1059999999999999E-2</v>
      </c>
      <c r="FA75" s="487">
        <v>1.8909800000000001</v>
      </c>
      <c r="FB75" s="487">
        <v>1.8696999999999999</v>
      </c>
      <c r="FC75" s="487">
        <v>2.2000000000000001E-4</v>
      </c>
      <c r="FD75" s="487">
        <v>2.1059999999999999E-2</v>
      </c>
      <c r="FE75" s="487">
        <v>1.6322000000000001</v>
      </c>
      <c r="FF75" s="487">
        <v>1.61093</v>
      </c>
      <c r="FG75" s="487">
        <v>2.2000000000000001E-4</v>
      </c>
      <c r="FH75" s="487">
        <v>2.1059999999999999E-2</v>
      </c>
    </row>
    <row r="76" spans="1:164" x14ac:dyDescent="0.35">
      <c r="A76" s="1979"/>
      <c r="B76" s="158" t="s">
        <v>572</v>
      </c>
      <c r="C76" s="159" t="s">
        <v>575</v>
      </c>
      <c r="D76" s="159" t="str">
        <f t="shared" si="110"/>
        <v>Generator Diesel or Gas oil|Litres (l)</v>
      </c>
      <c r="E76" s="1276">
        <f>M66</f>
        <v>2.7577600000000002</v>
      </c>
      <c r="F76" s="1276">
        <f>N66</f>
        <v>2.72417</v>
      </c>
      <c r="G76" s="1276">
        <f>O66</f>
        <v>2.82E-3</v>
      </c>
      <c r="H76" s="1276">
        <f>P66</f>
        <v>3.0769999999999999E-2</v>
      </c>
      <c r="J76" s="1977"/>
      <c r="K76" s="1982"/>
      <c r="L76" s="133" t="s">
        <v>1737</v>
      </c>
      <c r="M76" s="134">
        <v>0.23652999999999999</v>
      </c>
      <c r="N76" s="134">
        <v>0.23566000000000001</v>
      </c>
      <c r="O76" s="134">
        <v>2.5999999999999998E-4</v>
      </c>
      <c r="P76" s="134">
        <v>6.0999999999999997E-4</v>
      </c>
      <c r="AP76" s="159" t="s">
        <v>779</v>
      </c>
      <c r="AQ76" s="158" t="s">
        <v>751</v>
      </c>
      <c r="AR76" s="164" t="str">
        <f t="shared" si="5"/>
        <v>Coach|passenger.km</v>
      </c>
      <c r="AS76" s="299">
        <f>BR31</f>
        <v>2.7320000000000001E-2</v>
      </c>
      <c r="AT76" s="299">
        <f t="shared" ref="AT76:AV76" si="114">BS31</f>
        <v>2.6790000000000001E-2</v>
      </c>
      <c r="AU76" s="299">
        <f t="shared" si="114"/>
        <v>1.0000000000000001E-5</v>
      </c>
      <c r="AV76" s="299">
        <f t="shared" si="114"/>
        <v>5.1999999999999995E-4</v>
      </c>
      <c r="DK76" s="1967"/>
      <c r="DL76" s="1388" t="s">
        <v>951</v>
      </c>
      <c r="DM76" s="1389">
        <f t="shared" si="112"/>
        <v>359</v>
      </c>
      <c r="DO76" s="330"/>
      <c r="DP76" s="128"/>
      <c r="DQ76" s="128"/>
      <c r="DR76" s="128"/>
      <c r="EP76" s="493"/>
      <c r="EQ76" s="494"/>
      <c r="ER76" s="345"/>
      <c r="ES76" s="345"/>
      <c r="ET76" s="345"/>
      <c r="EU76" s="345"/>
      <c r="EV76" s="345"/>
      <c r="EW76" s="345"/>
      <c r="EX76" s="345"/>
      <c r="EY76" s="345"/>
      <c r="EZ76" s="345"/>
    </row>
    <row r="77" spans="1:164" ht="16.5" x14ac:dyDescent="0.45">
      <c r="A77" s="1979"/>
      <c r="B77" s="158" t="s">
        <v>572</v>
      </c>
      <c r="C77" s="159" t="s">
        <v>569</v>
      </c>
      <c r="D77" s="159" t="str">
        <f t="shared" si="110"/>
        <v>Generator Diesel or Gas oil|Kilograms (kg)</v>
      </c>
      <c r="E77" s="169">
        <f>M65/1000</f>
        <v>3.2293400000000001</v>
      </c>
      <c r="F77" s="169">
        <f>N65/1000</f>
        <v>3.19</v>
      </c>
      <c r="G77" s="169">
        <f>O65/1000</f>
        <v>3.31E-3</v>
      </c>
      <c r="H77" s="169">
        <f>P65/1000</f>
        <v>3.603E-2</v>
      </c>
      <c r="J77" s="1977"/>
      <c r="K77" s="1986" t="s">
        <v>1841</v>
      </c>
      <c r="L77" s="135" t="s">
        <v>316</v>
      </c>
      <c r="M77" s="136">
        <v>2942.05</v>
      </c>
      <c r="N77" s="136">
        <v>2924.82</v>
      </c>
      <c r="O77" s="136">
        <v>9.08</v>
      </c>
      <c r="P77" s="137">
        <v>8.16</v>
      </c>
      <c r="AP77" s="159" t="s">
        <v>779</v>
      </c>
      <c r="AQ77" s="158" t="s">
        <v>197</v>
      </c>
      <c r="AR77" s="164" t="str">
        <f t="shared" si="5"/>
        <v>Coach|km</v>
      </c>
      <c r="AS77" s="158" t="s">
        <v>1724</v>
      </c>
      <c r="AT77" s="158" t="s">
        <v>1724</v>
      </c>
      <c r="AU77" s="158" t="s">
        <v>1724</v>
      </c>
      <c r="AV77" s="158" t="s">
        <v>1724</v>
      </c>
      <c r="DK77" s="1967"/>
      <c r="DL77" s="1388" t="s">
        <v>952</v>
      </c>
      <c r="DM77" s="1389">
        <f t="shared" si="112"/>
        <v>575</v>
      </c>
      <c r="DO77" s="331" t="s">
        <v>1688</v>
      </c>
      <c r="DP77" s="122" t="s">
        <v>1706</v>
      </c>
      <c r="DQ77" s="122" t="s">
        <v>1689</v>
      </c>
      <c r="DR77" s="123" t="s">
        <v>1690</v>
      </c>
      <c r="EP77" s="493"/>
      <c r="EQ77" s="494"/>
      <c r="ER77" s="345"/>
      <c r="ES77" s="347"/>
      <c r="ET77" s="347"/>
      <c r="EU77" s="347"/>
      <c r="EV77" s="347"/>
      <c r="EW77" s="347"/>
      <c r="EX77" s="347"/>
      <c r="EY77" s="347"/>
      <c r="EZ77" s="347"/>
    </row>
    <row r="78" spans="1:164" ht="16.5" x14ac:dyDescent="0.35">
      <c r="A78" s="1979"/>
      <c r="B78" s="158" t="s">
        <v>572</v>
      </c>
      <c r="C78" s="161" t="s">
        <v>581</v>
      </c>
      <c r="D78" s="159" t="str">
        <f t="shared" si="110"/>
        <v>Generator Diesel or Gas oil|Cubic metres (m3)</v>
      </c>
      <c r="E78" s="1278">
        <f>E77*'Fuel properties'!G24</f>
        <v>2757.76270914</v>
      </c>
      <c r="F78" s="1278">
        <f>F77*'Fuel properties'!G24</f>
        <v>2724.1674899999998</v>
      </c>
      <c r="G78" s="1278">
        <f>G77*'Fuel properties'!G24</f>
        <v>2.8266440099999999</v>
      </c>
      <c r="H78" s="1278">
        <f>H77*'Fuel properties'!G24</f>
        <v>30.768575129999999</v>
      </c>
      <c r="J78" s="1977"/>
      <c r="K78" s="1987"/>
      <c r="L78" s="138" t="s">
        <v>199</v>
      </c>
      <c r="M78" s="126">
        <v>2.1680199999999998</v>
      </c>
      <c r="N78" s="126">
        <v>2.1553200000000001</v>
      </c>
      <c r="O78" s="126">
        <v>6.6899999999999998E-3</v>
      </c>
      <c r="P78" s="139">
        <v>6.0099999999999997E-3</v>
      </c>
      <c r="AP78" s="159" t="s">
        <v>779</v>
      </c>
      <c r="AQ78" s="158" t="s">
        <v>753</v>
      </c>
      <c r="AR78" s="164" t="str">
        <f t="shared" si="5"/>
        <v>Coach|miles</v>
      </c>
      <c r="AS78" s="158" t="s">
        <v>1724</v>
      </c>
      <c r="AT78" s="158" t="s">
        <v>1724</v>
      </c>
      <c r="AU78" s="158" t="s">
        <v>1724</v>
      </c>
      <c r="AV78" s="158" t="s">
        <v>1724</v>
      </c>
      <c r="DK78" s="1967"/>
      <c r="DL78" s="1388" t="s">
        <v>953</v>
      </c>
      <c r="DM78" s="1389">
        <f t="shared" si="112"/>
        <v>580</v>
      </c>
      <c r="DO78" s="1968" t="s">
        <v>1835</v>
      </c>
      <c r="DP78" s="123" t="s">
        <v>941</v>
      </c>
      <c r="DQ78" s="123" t="s">
        <v>202</v>
      </c>
      <c r="DR78" s="388">
        <v>17200</v>
      </c>
      <c r="EP78" s="493"/>
      <c r="EQ78" s="494"/>
      <c r="ER78" s="345"/>
      <c r="ES78" s="1972" t="s">
        <v>1842</v>
      </c>
      <c r="ET78" s="1972"/>
      <c r="EU78" s="1972"/>
      <c r="EV78" s="1972"/>
      <c r="EW78" s="1972" t="s">
        <v>1843</v>
      </c>
      <c r="EX78" s="1972"/>
      <c r="EY78" s="1972"/>
      <c r="EZ78" s="1972"/>
    </row>
    <row r="79" spans="1:164" ht="16.5" x14ac:dyDescent="0.45">
      <c r="A79" s="1979"/>
      <c r="B79" s="158" t="s">
        <v>578</v>
      </c>
      <c r="C79" s="159" t="s">
        <v>563</v>
      </c>
      <c r="D79" s="159" t="str">
        <f>B79&amp;"|"&amp;C79</f>
        <v>Non-Generator Diesel or Gas oil|Kilowatt hours (KWh)</v>
      </c>
      <c r="E79" s="1276">
        <f>M68</f>
        <v>0.25672</v>
      </c>
      <c r="F79" s="1276">
        <f>N68</f>
        <v>0.25358999999999998</v>
      </c>
      <c r="G79" s="1276">
        <f>O68</f>
        <v>2.5999999999999998E-4</v>
      </c>
      <c r="H79" s="1276">
        <f>P68</f>
        <v>2.8600000000000001E-3</v>
      </c>
      <c r="J79" s="1977"/>
      <c r="K79" s="1987"/>
      <c r="L79" s="138" t="s">
        <v>1733</v>
      </c>
      <c r="M79" s="126">
        <v>0.24163999999999999</v>
      </c>
      <c r="N79" s="126">
        <v>0.24021999999999999</v>
      </c>
      <c r="O79" s="126">
        <v>7.5000000000000002E-4</v>
      </c>
      <c r="P79" s="139">
        <v>6.7000000000000002E-4</v>
      </c>
      <c r="AP79" s="159" t="s">
        <v>780</v>
      </c>
      <c r="AQ79" s="158" t="s">
        <v>751</v>
      </c>
      <c r="AR79" s="164" t="str">
        <f t="shared" si="5"/>
        <v>National rail|passenger.km</v>
      </c>
      <c r="AS79" s="299">
        <f>BR24</f>
        <v>0.14549000000000001</v>
      </c>
      <c r="AT79" s="299">
        <f t="shared" ref="AT79:AV79" si="115">BS24</f>
        <v>0.14418</v>
      </c>
      <c r="AU79" s="299">
        <f t="shared" si="115"/>
        <v>2.4899999999999999E-6</v>
      </c>
      <c r="AV79" s="299">
        <f t="shared" si="115"/>
        <v>1.31E-3</v>
      </c>
      <c r="DK79" s="1967"/>
      <c r="DL79" s="1388" t="s">
        <v>954</v>
      </c>
      <c r="DM79" s="1389">
        <f t="shared" si="112"/>
        <v>110</v>
      </c>
      <c r="DO79" s="1968"/>
      <c r="DP79" s="123" t="s">
        <v>942</v>
      </c>
      <c r="DQ79" s="123" t="s">
        <v>202</v>
      </c>
      <c r="DR79" s="388">
        <v>7500</v>
      </c>
      <c r="EP79" s="147" t="s">
        <v>1688</v>
      </c>
      <c r="EQ79" s="331" t="s">
        <v>1702</v>
      </c>
      <c r="ER79" s="122" t="s">
        <v>1689</v>
      </c>
      <c r="ES79" s="123" t="s">
        <v>1690</v>
      </c>
      <c r="ET79" s="123" t="s">
        <v>1691</v>
      </c>
      <c r="EU79" s="123" t="s">
        <v>1692</v>
      </c>
      <c r="EV79" s="123" t="s">
        <v>1693</v>
      </c>
      <c r="EW79" s="123" t="s">
        <v>1690</v>
      </c>
      <c r="EX79" s="123" t="s">
        <v>1691</v>
      </c>
      <c r="EY79" s="123" t="s">
        <v>1692</v>
      </c>
      <c r="EZ79" s="123" t="s">
        <v>1693</v>
      </c>
    </row>
    <row r="80" spans="1:164" x14ac:dyDescent="0.35">
      <c r="A80" s="1979"/>
      <c r="B80" s="158" t="s">
        <v>578</v>
      </c>
      <c r="C80" s="159" t="s">
        <v>575</v>
      </c>
      <c r="D80" s="159" t="str">
        <f>B80&amp;"|"&amp;C80</f>
        <v>Non-Generator Diesel or Gas oil|Litres (l)</v>
      </c>
      <c r="E80" s="1276">
        <f>M66</f>
        <v>2.7577600000000002</v>
      </c>
      <c r="F80" s="1276">
        <f>N66</f>
        <v>2.72417</v>
      </c>
      <c r="G80" s="1276">
        <f>O66</f>
        <v>2.82E-3</v>
      </c>
      <c r="H80" s="1276">
        <f>P66</f>
        <v>3.0769999999999999E-2</v>
      </c>
      <c r="J80" s="1977"/>
      <c r="K80" s="1988"/>
      <c r="L80" s="140" t="s">
        <v>1737</v>
      </c>
      <c r="M80" s="141">
        <v>0.22919999999999999</v>
      </c>
      <c r="N80" s="141">
        <v>0.22786000000000001</v>
      </c>
      <c r="O80" s="141">
        <v>7.1000000000000002E-4</v>
      </c>
      <c r="P80" s="142">
        <v>6.4000000000000005E-4</v>
      </c>
      <c r="AP80" s="159" t="s">
        <v>780</v>
      </c>
      <c r="AQ80" s="158" t="s">
        <v>197</v>
      </c>
      <c r="AR80" s="164" t="str">
        <f t="shared" si="5"/>
        <v>National rail|km</v>
      </c>
      <c r="AS80" s="158" t="s">
        <v>1724</v>
      </c>
      <c r="AT80" s="158" t="s">
        <v>1724</v>
      </c>
      <c r="AU80" s="158" t="s">
        <v>1724</v>
      </c>
      <c r="AV80" s="158" t="s">
        <v>1724</v>
      </c>
      <c r="DK80" s="1967"/>
      <c r="DL80" s="1388" t="s">
        <v>955</v>
      </c>
      <c r="DM80" s="1389">
        <f t="shared" si="112"/>
        <v>297</v>
      </c>
      <c r="DO80" s="1968"/>
      <c r="DP80" s="123" t="s">
        <v>943</v>
      </c>
      <c r="DQ80" s="123" t="s">
        <v>202</v>
      </c>
      <c r="DR80" s="388">
        <v>17700</v>
      </c>
      <c r="EP80" s="1994" t="s">
        <v>1844</v>
      </c>
      <c r="EQ80" s="488" t="s">
        <v>1726</v>
      </c>
      <c r="ER80" s="123" t="s">
        <v>1093</v>
      </c>
      <c r="ES80" s="298">
        <v>4.7671899999999994</v>
      </c>
      <c r="ET80" s="298">
        <v>4.7413400000000001</v>
      </c>
      <c r="EU80" s="298">
        <v>2.2399999999999998E-3</v>
      </c>
      <c r="EV80" s="298">
        <v>2.3609999999999999E-2</v>
      </c>
      <c r="EW80" s="298">
        <v>2.52129</v>
      </c>
      <c r="EX80" s="298">
        <v>2.4954399999999999</v>
      </c>
      <c r="EY80" s="298">
        <v>2.2399999999999998E-3</v>
      </c>
      <c r="EZ80" s="298">
        <v>2.3609999999999999E-2</v>
      </c>
    </row>
    <row r="81" spans="1:156" x14ac:dyDescent="0.35">
      <c r="A81" s="1979"/>
      <c r="B81" s="158" t="s">
        <v>578</v>
      </c>
      <c r="C81" s="159" t="s">
        <v>569</v>
      </c>
      <c r="D81" s="159" t="str">
        <f>B81&amp;"|"&amp;C81</f>
        <v>Non-Generator Diesel or Gas oil|Kilograms (kg)</v>
      </c>
      <c r="E81" s="169">
        <f>M65/1000</f>
        <v>3.2293400000000001</v>
      </c>
      <c r="F81" s="169">
        <f>N65/1000</f>
        <v>3.19</v>
      </c>
      <c r="G81" s="169">
        <f>O65/1000</f>
        <v>3.31E-3</v>
      </c>
      <c r="H81" s="169">
        <f>P65/1000</f>
        <v>3.603E-2</v>
      </c>
      <c r="J81" s="1977"/>
      <c r="K81" s="1980" t="s">
        <v>1845</v>
      </c>
      <c r="L81" s="143" t="s">
        <v>316</v>
      </c>
      <c r="M81" s="144">
        <v>3152.58</v>
      </c>
      <c r="N81" s="144">
        <v>3135</v>
      </c>
      <c r="O81" s="144">
        <v>9.26</v>
      </c>
      <c r="P81" s="144">
        <v>8.32</v>
      </c>
      <c r="AP81" s="159" t="s">
        <v>780</v>
      </c>
      <c r="AQ81" s="158" t="s">
        <v>753</v>
      </c>
      <c r="AR81" s="164" t="str">
        <f t="shared" si="5"/>
        <v>National rail|miles</v>
      </c>
      <c r="AS81" s="158" t="s">
        <v>1724</v>
      </c>
      <c r="AT81" s="158" t="s">
        <v>1724</v>
      </c>
      <c r="AU81" s="158" t="s">
        <v>1724</v>
      </c>
      <c r="AV81" s="158" t="s">
        <v>1724</v>
      </c>
      <c r="DK81" s="1967"/>
      <c r="DL81" s="1388" t="s">
        <v>956</v>
      </c>
      <c r="DM81" s="1389">
        <f t="shared" si="112"/>
        <v>59</v>
      </c>
      <c r="DO81" s="1968"/>
      <c r="DP81" s="123" t="s">
        <v>944</v>
      </c>
      <c r="DQ81" s="123" t="s">
        <v>202</v>
      </c>
      <c r="DR81" s="388">
        <v>17340</v>
      </c>
      <c r="EP81" s="1994"/>
      <c r="EQ81" s="488" t="s">
        <v>1734</v>
      </c>
      <c r="ER81" s="123" t="s">
        <v>1093</v>
      </c>
      <c r="ES81" s="298">
        <v>2.20946</v>
      </c>
      <c r="ET81" s="298">
        <v>2.1984300000000001</v>
      </c>
      <c r="EU81" s="298">
        <v>8.0000000000000007E-5</v>
      </c>
      <c r="EV81" s="298">
        <v>1.095E-2</v>
      </c>
      <c r="EW81" s="298">
        <v>1.1681000000000001</v>
      </c>
      <c r="EX81" s="298">
        <v>1.15707</v>
      </c>
      <c r="EY81" s="298">
        <v>8.0000000000000007E-5</v>
      </c>
      <c r="EZ81" s="298">
        <v>1.095E-2</v>
      </c>
    </row>
    <row r="82" spans="1:156" ht="16.5" x14ac:dyDescent="0.35">
      <c r="A82" s="1979"/>
      <c r="B82" s="158" t="s">
        <v>578</v>
      </c>
      <c r="C82" s="161" t="s">
        <v>581</v>
      </c>
      <c r="D82" s="159" t="str">
        <f>B82&amp;"|"&amp;C82</f>
        <v>Non-Generator Diesel or Gas oil|Cubic metres (m3)</v>
      </c>
      <c r="E82" s="1278">
        <f>E77*'Fuel properties'!G24</f>
        <v>2757.76270914</v>
      </c>
      <c r="F82" s="1278">
        <f>F77*'Fuel properties'!G24</f>
        <v>2724.1674899999998</v>
      </c>
      <c r="G82" s="1278">
        <f>G77*'Fuel properties'!G24</f>
        <v>2.8266440099999999</v>
      </c>
      <c r="H82" s="1278">
        <f>H77*'Fuel properties'!G24</f>
        <v>30.768575129999999</v>
      </c>
      <c r="J82" s="1977"/>
      <c r="K82" s="1981"/>
      <c r="L82" s="123" t="s">
        <v>199</v>
      </c>
      <c r="M82" s="126">
        <v>2.31467</v>
      </c>
      <c r="N82" s="126">
        <v>2.3017599999999998</v>
      </c>
      <c r="O82" s="126">
        <v>6.7999999999999996E-3</v>
      </c>
      <c r="P82" s="126">
        <v>6.11E-3</v>
      </c>
      <c r="AP82" s="159" t="s">
        <v>781</v>
      </c>
      <c r="AQ82" s="158" t="s">
        <v>751</v>
      </c>
      <c r="AR82" s="164" t="str">
        <f t="shared" si="5"/>
        <v>International rail|passenger.km</v>
      </c>
      <c r="AS82" s="299">
        <f>BR35</f>
        <v>4.9699999999999996E-3</v>
      </c>
      <c r="AT82" s="299">
        <f t="shared" ref="AT82:AV82" si="116">BS35</f>
        <v>4.9199999999999999E-3</v>
      </c>
      <c r="AU82" s="299">
        <f t="shared" si="116"/>
        <v>2.0000000000000002E-5</v>
      </c>
      <c r="AV82" s="299">
        <f t="shared" si="116"/>
        <v>3.0000000000000001E-5</v>
      </c>
      <c r="DK82" s="1967"/>
      <c r="DL82" s="1388" t="s">
        <v>957</v>
      </c>
      <c r="DM82" s="1389">
        <f t="shared" si="112"/>
        <v>1870</v>
      </c>
      <c r="DO82" s="330"/>
      <c r="DP82" s="128"/>
      <c r="DQ82" s="128"/>
      <c r="DR82" s="128"/>
      <c r="EP82" s="1994"/>
      <c r="EQ82" s="488" t="s">
        <v>1744</v>
      </c>
      <c r="ER82" s="123" t="s">
        <v>1093</v>
      </c>
      <c r="ES82" s="298">
        <v>1.1338200000000001</v>
      </c>
      <c r="ET82" s="298">
        <v>1.1281600000000001</v>
      </c>
      <c r="EU82" s="298">
        <v>4.0000000000000003E-5</v>
      </c>
      <c r="EV82" s="298">
        <v>5.62E-3</v>
      </c>
      <c r="EW82" s="298">
        <v>0.59943000000000002</v>
      </c>
      <c r="EX82" s="298">
        <v>0.59377000000000002</v>
      </c>
      <c r="EY82" s="298">
        <v>4.0000000000000003E-5</v>
      </c>
      <c r="EZ82" s="298">
        <v>5.62E-3</v>
      </c>
    </row>
    <row r="83" spans="1:156" x14ac:dyDescent="0.35">
      <c r="A83" s="1979"/>
      <c r="B83" s="158" t="s">
        <v>594</v>
      </c>
      <c r="C83" s="159" t="s">
        <v>563</v>
      </c>
      <c r="D83" s="159" t="str">
        <f t="shared" si="110"/>
        <v>Fuel oil or Heavy oil|Kilowatt hours (KWh)</v>
      </c>
      <c r="E83" s="1276">
        <f>M64</f>
        <v>0.26774999999999999</v>
      </c>
      <c r="F83" s="1276">
        <f>N64</f>
        <v>0.26674999999999999</v>
      </c>
      <c r="G83" s="1276">
        <f>O64</f>
        <v>3.5E-4</v>
      </c>
      <c r="H83" s="1276">
        <f>P64</f>
        <v>6.4999999999999997E-4</v>
      </c>
      <c r="J83" s="1977"/>
      <c r="K83" s="1981"/>
      <c r="L83" s="123" t="s">
        <v>1733</v>
      </c>
      <c r="M83" s="126">
        <v>0.25390000000000001</v>
      </c>
      <c r="N83" s="126">
        <v>0.25247999999999998</v>
      </c>
      <c r="O83" s="126">
        <v>7.5000000000000002E-4</v>
      </c>
      <c r="P83" s="126">
        <v>6.7000000000000002E-4</v>
      </c>
      <c r="AP83" s="159" t="s">
        <v>781</v>
      </c>
      <c r="AQ83" s="158" t="s">
        <v>197</v>
      </c>
      <c r="AR83" s="164" t="str">
        <f t="shared" si="5"/>
        <v>International rail|km</v>
      </c>
      <c r="AS83" s="158" t="s">
        <v>1724</v>
      </c>
      <c r="AT83" s="158" t="s">
        <v>1724</v>
      </c>
      <c r="AU83" s="158" t="s">
        <v>1724</v>
      </c>
      <c r="AV83" s="158" t="s">
        <v>1724</v>
      </c>
      <c r="DK83" s="1967"/>
      <c r="DL83" s="1388" t="s">
        <v>958</v>
      </c>
      <c r="DM83" s="1389">
        <f t="shared" si="112"/>
        <v>2800</v>
      </c>
      <c r="DO83" s="330"/>
      <c r="DP83" s="128"/>
      <c r="DQ83" s="128"/>
      <c r="DR83" s="128"/>
      <c r="EP83" s="1994"/>
      <c r="EQ83" s="488" t="s">
        <v>1762</v>
      </c>
      <c r="ER83" s="123" t="s">
        <v>1093</v>
      </c>
      <c r="ES83" s="298">
        <v>1.1338200000000001</v>
      </c>
      <c r="ET83" s="298">
        <v>1.1281600000000001</v>
      </c>
      <c r="EU83" s="298">
        <v>4.0000000000000003E-5</v>
      </c>
      <c r="EV83" s="298">
        <v>5.62E-3</v>
      </c>
      <c r="EW83" s="298">
        <v>0.59943000000000002</v>
      </c>
      <c r="EX83" s="298">
        <v>0.59377000000000002</v>
      </c>
      <c r="EY83" s="298">
        <v>4.0000000000000003E-5</v>
      </c>
      <c r="EZ83" s="298">
        <v>5.62E-3</v>
      </c>
    </row>
    <row r="84" spans="1:156" x14ac:dyDescent="0.35">
      <c r="A84" s="1979"/>
      <c r="B84" s="158" t="s">
        <v>594</v>
      </c>
      <c r="C84" s="159" t="s">
        <v>575</v>
      </c>
      <c r="D84" s="159" t="str">
        <f t="shared" si="110"/>
        <v>Fuel oil or Heavy oil|Litres (l)</v>
      </c>
      <c r="E84" s="1276">
        <f>M62</f>
        <v>3.1831700000000001</v>
      </c>
      <c r="F84" s="1276">
        <f>N62</f>
        <v>3.1713300000000002</v>
      </c>
      <c r="G84" s="1276">
        <f>O62</f>
        <v>4.13E-3</v>
      </c>
      <c r="H84" s="1276">
        <f>P62</f>
        <v>7.7099999999999998E-3</v>
      </c>
      <c r="J84" s="1977"/>
      <c r="K84" s="1982"/>
      <c r="L84" s="123" t="s">
        <v>1737</v>
      </c>
      <c r="M84" s="126">
        <v>0.2412</v>
      </c>
      <c r="N84" s="126">
        <v>0.23985999999999999</v>
      </c>
      <c r="O84" s="126">
        <v>7.1000000000000002E-4</v>
      </c>
      <c r="P84" s="126">
        <v>6.4000000000000005E-4</v>
      </c>
      <c r="AP84" s="159" t="s">
        <v>781</v>
      </c>
      <c r="AQ84" s="158" t="s">
        <v>753</v>
      </c>
      <c r="AR84" s="164" t="str">
        <f t="shared" si="5"/>
        <v>International rail|miles</v>
      </c>
      <c r="AS84" s="158" t="s">
        <v>1724</v>
      </c>
      <c r="AT84" s="158" t="s">
        <v>1724</v>
      </c>
      <c r="AU84" s="158" t="s">
        <v>1724</v>
      </c>
      <c r="AV84" s="158" t="s">
        <v>1724</v>
      </c>
      <c r="DK84" s="1967"/>
      <c r="DL84" s="1388" t="s">
        <v>959</v>
      </c>
      <c r="DM84" s="1389">
        <f t="shared" si="112"/>
        <v>1500</v>
      </c>
      <c r="DO84" s="330"/>
      <c r="DP84" s="128"/>
      <c r="DQ84" s="128"/>
      <c r="DR84" s="128"/>
      <c r="EP84" s="493"/>
      <c r="EQ84" s="494"/>
      <c r="ER84" s="345"/>
      <c r="ES84" s="345"/>
      <c r="ET84" s="345"/>
      <c r="EU84" s="345"/>
      <c r="EV84" s="345"/>
      <c r="EW84" s="345"/>
      <c r="EX84" s="345"/>
      <c r="EY84" s="345"/>
      <c r="EZ84" s="345"/>
    </row>
    <row r="85" spans="1:156" ht="16.5" x14ac:dyDescent="0.45">
      <c r="A85" s="1979"/>
      <c r="B85" s="158" t="s">
        <v>594</v>
      </c>
      <c r="C85" s="159" t="s">
        <v>569</v>
      </c>
      <c r="D85" s="159" t="str">
        <f t="shared" si="110"/>
        <v>Fuel oil or Heavy oil|Kilograms (kg)</v>
      </c>
      <c r="E85" s="169">
        <f>M61/1000</f>
        <v>3.2213699999999998</v>
      </c>
      <c r="F85" s="169">
        <f>N61/1000</f>
        <v>3.2093799999999999</v>
      </c>
      <c r="G85" s="169">
        <f>O61/1000</f>
        <v>4.1799999999999997E-3</v>
      </c>
      <c r="H85" s="169">
        <f>P61/1000</f>
        <v>7.8099999999999992E-3</v>
      </c>
      <c r="J85" s="1977"/>
      <c r="K85" s="1980" t="s">
        <v>1846</v>
      </c>
      <c r="L85" s="123" t="s">
        <v>316</v>
      </c>
      <c r="M85" s="131">
        <v>3221.37</v>
      </c>
      <c r="N85" s="131">
        <v>3209.38</v>
      </c>
      <c r="O85" s="131">
        <v>4.18</v>
      </c>
      <c r="P85" s="131">
        <v>7.81</v>
      </c>
      <c r="AP85" s="159" t="s">
        <v>782</v>
      </c>
      <c r="AQ85" s="158" t="s">
        <v>751</v>
      </c>
      <c r="AR85" s="164" t="str">
        <f t="shared" si="5"/>
        <v>Light rail and tram|passenger.km</v>
      </c>
      <c r="AS85" s="299">
        <f>BR36</f>
        <v>2.9909999999999999E-2</v>
      </c>
      <c r="AT85" s="299">
        <f t="shared" ref="AT85:AV85" si="117">BS36</f>
        <v>2.964E-2</v>
      </c>
      <c r="AU85" s="299">
        <f t="shared" si="117"/>
        <v>9.0000000000000006E-5</v>
      </c>
      <c r="AV85" s="299">
        <f t="shared" si="117"/>
        <v>1.8000000000000001E-4</v>
      </c>
      <c r="DK85" s="1967" t="s">
        <v>1847</v>
      </c>
      <c r="DL85" s="1388" t="s">
        <v>960</v>
      </c>
      <c r="DM85" s="1389">
        <f>DR105</f>
        <v>10300</v>
      </c>
      <c r="DO85" s="331" t="s">
        <v>1688</v>
      </c>
      <c r="DP85" s="122" t="s">
        <v>1706</v>
      </c>
      <c r="DQ85" s="122" t="s">
        <v>1689</v>
      </c>
      <c r="DR85" s="123" t="s">
        <v>1690</v>
      </c>
      <c r="EP85" s="493"/>
      <c r="EQ85" s="494"/>
      <c r="ER85" s="345"/>
      <c r="ES85" s="345"/>
      <c r="ET85" s="345"/>
      <c r="EU85" s="345"/>
      <c r="EV85" s="345"/>
      <c r="EW85" s="345"/>
      <c r="EX85" s="345"/>
      <c r="EY85" s="345"/>
      <c r="EZ85" s="345"/>
    </row>
    <row r="86" spans="1:156" ht="16.5" x14ac:dyDescent="0.35">
      <c r="A86" s="1979"/>
      <c r="B86" s="158" t="s">
        <v>594</v>
      </c>
      <c r="C86" s="161" t="s">
        <v>581</v>
      </c>
      <c r="D86" s="159" t="str">
        <f t="shared" si="110"/>
        <v>Fuel oil or Heavy oil|Cubic metres (m3)</v>
      </c>
      <c r="E86" s="1278">
        <f>E85*'Fuel properties'!G23</f>
        <v>3183.1709945399998</v>
      </c>
      <c r="F86" s="1278">
        <f>F85*'Fuel properties'!G23</f>
        <v>3171.3231719599999</v>
      </c>
      <c r="G86" s="1278">
        <f>G85*'Fuel properties'!G23</f>
        <v>4.1304335600000002</v>
      </c>
      <c r="H86" s="1278">
        <f>H85*'Fuel properties'!G23</f>
        <v>7.7173890199999997</v>
      </c>
      <c r="J86" s="1977"/>
      <c r="K86" s="1981"/>
      <c r="L86" s="123" t="s">
        <v>199</v>
      </c>
      <c r="M86" s="126">
        <v>3.1831700000000001</v>
      </c>
      <c r="N86" s="126">
        <v>3.1713300000000002</v>
      </c>
      <c r="O86" s="126">
        <v>4.13E-3</v>
      </c>
      <c r="P86" s="126">
        <v>7.7099999999999998E-3</v>
      </c>
      <c r="AP86" s="159" t="s">
        <v>782</v>
      </c>
      <c r="AQ86" s="158" t="s">
        <v>197</v>
      </c>
      <c r="AR86" s="164" t="str">
        <f t="shared" si="5"/>
        <v>Light rail and tram|km</v>
      </c>
      <c r="AS86" s="158" t="s">
        <v>1724</v>
      </c>
      <c r="AT86" s="158" t="s">
        <v>1724</v>
      </c>
      <c r="AU86" s="158" t="s">
        <v>1724</v>
      </c>
      <c r="AV86" s="158" t="s">
        <v>1724</v>
      </c>
      <c r="DK86" s="1967"/>
      <c r="DL86" s="1388" t="s">
        <v>961</v>
      </c>
      <c r="DM86" s="1389">
        <f t="shared" ref="DM86:DM92" si="118">DR106</f>
        <v>1</v>
      </c>
      <c r="DO86" s="1968" t="s">
        <v>1839</v>
      </c>
      <c r="DP86" s="123" t="s">
        <v>945</v>
      </c>
      <c r="DQ86" s="123" t="s">
        <v>202</v>
      </c>
      <c r="DR86" s="388">
        <v>14900</v>
      </c>
      <c r="EP86" s="493">
        <v>1</v>
      </c>
      <c r="EQ86" s="494"/>
      <c r="ER86" s="345"/>
      <c r="ES86" s="345"/>
      <c r="ET86" s="345"/>
      <c r="EU86" s="345"/>
      <c r="EV86" s="345"/>
      <c r="EW86" s="345"/>
      <c r="EX86" s="345"/>
      <c r="EY86" s="345"/>
      <c r="EZ86" s="345"/>
    </row>
    <row r="87" spans="1:156" ht="16.5" x14ac:dyDescent="0.45">
      <c r="A87" s="1979"/>
      <c r="B87" s="158" t="s">
        <v>597</v>
      </c>
      <c r="C87" s="159" t="s">
        <v>563</v>
      </c>
      <c r="D87" s="159" t="str">
        <f t="shared" si="110"/>
        <v>Naphtha|Kilowatt hours (KWh)</v>
      </c>
      <c r="E87" s="1276">
        <f>M76</f>
        <v>0.23652999999999999</v>
      </c>
      <c r="F87" s="1276">
        <f>N76</f>
        <v>0.23566000000000001</v>
      </c>
      <c r="G87" s="1276">
        <f>O76</f>
        <v>2.5999999999999998E-4</v>
      </c>
      <c r="H87" s="1276">
        <f>P76</f>
        <v>6.0999999999999997E-4</v>
      </c>
      <c r="J87" s="1977"/>
      <c r="K87" s="1981"/>
      <c r="L87" s="123" t="s">
        <v>1733</v>
      </c>
      <c r="M87" s="126">
        <v>0.28483999999999998</v>
      </c>
      <c r="N87" s="126">
        <v>0.28377999999999998</v>
      </c>
      <c r="O87" s="126">
        <v>3.6999999999999999E-4</v>
      </c>
      <c r="P87" s="126">
        <v>6.8999999999999997E-4</v>
      </c>
      <c r="AP87" s="159" t="s">
        <v>782</v>
      </c>
      <c r="AQ87" s="158" t="s">
        <v>753</v>
      </c>
      <c r="AR87" s="164" t="str">
        <f t="shared" si="5"/>
        <v>Light rail and tram|miles</v>
      </c>
      <c r="AS87" s="158" t="s">
        <v>1724</v>
      </c>
      <c r="AT87" s="158" t="s">
        <v>1724</v>
      </c>
      <c r="AU87" s="158" t="s">
        <v>1724</v>
      </c>
      <c r="AV87" s="158" t="s">
        <v>1724</v>
      </c>
      <c r="DK87" s="1967"/>
      <c r="DL87" s="1388" t="s">
        <v>962</v>
      </c>
      <c r="DM87" s="1389">
        <f t="shared" si="118"/>
        <v>8.6999999999999993</v>
      </c>
      <c r="DO87" s="1968"/>
      <c r="DP87" s="123" t="s">
        <v>946</v>
      </c>
      <c r="DQ87" s="123" t="s">
        <v>202</v>
      </c>
      <c r="DR87" s="388">
        <v>6320</v>
      </c>
      <c r="EP87" s="147" t="s">
        <v>1688</v>
      </c>
      <c r="EQ87" s="331" t="s">
        <v>1702</v>
      </c>
      <c r="ER87" s="122" t="s">
        <v>1689</v>
      </c>
      <c r="ES87" s="123" t="s">
        <v>1690</v>
      </c>
      <c r="ET87" s="123" t="s">
        <v>1691</v>
      </c>
      <c r="EU87" s="123" t="s">
        <v>1692</v>
      </c>
      <c r="EV87" s="123" t="s">
        <v>1693</v>
      </c>
      <c r="EW87" s="345"/>
      <c r="EX87" s="345"/>
      <c r="EY87" s="345"/>
      <c r="EZ87" s="345"/>
    </row>
    <row r="88" spans="1:156" x14ac:dyDescent="0.35">
      <c r="A88" s="1979"/>
      <c r="B88" s="158" t="s">
        <v>597</v>
      </c>
      <c r="C88" s="159" t="s">
        <v>575</v>
      </c>
      <c r="D88" s="159" t="str">
        <f t="shared" si="110"/>
        <v>Naphtha|Litres (l)</v>
      </c>
      <c r="E88" s="1275">
        <f>(E89*1000)/'Fuel properties'!H27</f>
        <v>2.1192650033715439</v>
      </c>
      <c r="F88" s="1275">
        <f>(F89*1000)/'Fuel properties'!H27</f>
        <v>2.1114834794335806</v>
      </c>
      <c r="G88" s="1275">
        <f>(G89*1000)/'Fuel properties'!H27</f>
        <v>2.2993931220498991E-3</v>
      </c>
      <c r="H88" s="1275">
        <f>(H89*1000)/'Fuel properties'!H27</f>
        <v>5.482130815913689E-3</v>
      </c>
      <c r="J88" s="1977"/>
      <c r="K88" s="1982"/>
      <c r="L88" s="123" t="s">
        <v>1737</v>
      </c>
      <c r="M88" s="126">
        <v>0.26774999999999999</v>
      </c>
      <c r="N88" s="126">
        <v>0.26674999999999999</v>
      </c>
      <c r="O88" s="126">
        <v>3.5E-4</v>
      </c>
      <c r="P88" s="126">
        <v>6.4999999999999997E-4</v>
      </c>
      <c r="DK88" s="1967"/>
      <c r="DL88" s="1388" t="s">
        <v>963</v>
      </c>
      <c r="DM88" s="1389">
        <f t="shared" si="118"/>
        <v>13</v>
      </c>
      <c r="DO88" s="1968"/>
      <c r="DP88" s="123" t="s">
        <v>947</v>
      </c>
      <c r="DQ88" s="123" t="s">
        <v>202</v>
      </c>
      <c r="DR88" s="388">
        <v>756</v>
      </c>
      <c r="EP88" s="288" t="s">
        <v>1807</v>
      </c>
      <c r="EQ88" s="488" t="s">
        <v>1848</v>
      </c>
      <c r="ER88" s="123" t="s">
        <v>1093</v>
      </c>
      <c r="ES88" s="487">
        <v>2.5559999999999999E-2</v>
      </c>
      <c r="ET88" s="487">
        <v>2.5309999999999999E-2</v>
      </c>
      <c r="EU88" s="487">
        <v>2.0000000000000002E-5</v>
      </c>
      <c r="EV88" s="487">
        <v>2.3000000000000001E-4</v>
      </c>
      <c r="EW88" s="345"/>
      <c r="EX88" s="345"/>
      <c r="EY88" s="345"/>
      <c r="EZ88" s="345"/>
    </row>
    <row r="89" spans="1:156" x14ac:dyDescent="0.35">
      <c r="A89" s="1979"/>
      <c r="B89" s="158" t="s">
        <v>597</v>
      </c>
      <c r="C89" s="159" t="s">
        <v>569</v>
      </c>
      <c r="D89" s="159" t="str">
        <f t="shared" si="110"/>
        <v>Naphtha|Kilograms (kg)</v>
      </c>
      <c r="E89" s="169">
        <f>M73/1000</f>
        <v>3.1428699999999998</v>
      </c>
      <c r="F89" s="169">
        <f>N73/1000</f>
        <v>3.1313299999999997</v>
      </c>
      <c r="G89" s="169">
        <f>O73/1000</f>
        <v>3.4100000000000003E-3</v>
      </c>
      <c r="H89" s="169">
        <f>P73/1000</f>
        <v>8.1300000000000001E-3</v>
      </c>
      <c r="J89" s="1977"/>
      <c r="K89" s="1980" t="s">
        <v>1849</v>
      </c>
      <c r="L89" s="123" t="s">
        <v>316</v>
      </c>
      <c r="M89" s="131">
        <v>3229.34</v>
      </c>
      <c r="N89" s="131">
        <v>3190</v>
      </c>
      <c r="O89" s="131">
        <v>3.31</v>
      </c>
      <c r="P89" s="131">
        <v>36.03</v>
      </c>
      <c r="DK89" s="1967"/>
      <c r="DL89" s="1388" t="s">
        <v>964</v>
      </c>
      <c r="DM89" s="1389">
        <f t="shared" si="118"/>
        <v>3.3</v>
      </c>
      <c r="DO89" s="1968"/>
      <c r="DP89" s="123" t="s">
        <v>948</v>
      </c>
      <c r="DQ89" s="123" t="s">
        <v>202</v>
      </c>
      <c r="DR89" s="388">
        <v>350</v>
      </c>
      <c r="EP89" s="493"/>
      <c r="EQ89" s="494"/>
      <c r="ER89" s="345"/>
      <c r="ES89" s="345"/>
      <c r="ET89" s="345"/>
      <c r="EU89" s="345"/>
      <c r="EV89" s="345"/>
      <c r="EW89" s="345"/>
      <c r="EX89" s="345"/>
      <c r="EY89" s="345"/>
      <c r="EZ89" s="345"/>
    </row>
    <row r="90" spans="1:156" ht="16.5" x14ac:dyDescent="0.35">
      <c r="A90" s="1979"/>
      <c r="B90" s="158" t="s">
        <v>597</v>
      </c>
      <c r="C90" s="161" t="s">
        <v>581</v>
      </c>
      <c r="D90" s="159" t="str">
        <f t="shared" si="110"/>
        <v>Naphtha|Cubic metres (m3)</v>
      </c>
      <c r="E90" s="1278">
        <f>E89*'Fuel properties'!G27</f>
        <v>2119.26552683</v>
      </c>
      <c r="F90" s="1278">
        <f>F89*'Fuel properties'!G27</f>
        <v>2111.4840009699997</v>
      </c>
      <c r="G90" s="1278">
        <f>G89*'Fuel properties'!G27</f>
        <v>2.29939369</v>
      </c>
      <c r="H90" s="1278">
        <f>H89*'Fuel properties'!G27</f>
        <v>5.4821321699999999</v>
      </c>
      <c r="J90" s="1977"/>
      <c r="K90" s="1981"/>
      <c r="L90" s="123" t="s">
        <v>199</v>
      </c>
      <c r="M90" s="126">
        <v>2.7577600000000002</v>
      </c>
      <c r="N90" s="126">
        <v>2.72417</v>
      </c>
      <c r="O90" s="126">
        <v>2.82E-3</v>
      </c>
      <c r="P90" s="126">
        <v>3.0769999999999999E-2</v>
      </c>
      <c r="DK90" s="1967"/>
      <c r="DL90" s="1388" t="s">
        <v>965</v>
      </c>
      <c r="DM90" s="1389">
        <f t="shared" si="118"/>
        <v>3</v>
      </c>
      <c r="DO90" s="1968"/>
      <c r="DP90" s="123" t="s">
        <v>949</v>
      </c>
      <c r="DQ90" s="123" t="s">
        <v>202</v>
      </c>
      <c r="DR90" s="388">
        <v>708</v>
      </c>
      <c r="EP90" s="493"/>
      <c r="EQ90" s="494"/>
      <c r="ER90" s="345"/>
      <c r="ES90" s="345"/>
      <c r="ET90" s="345"/>
      <c r="EU90" s="345"/>
      <c r="EV90" s="345"/>
      <c r="EW90" s="345"/>
      <c r="EX90" s="345"/>
      <c r="EY90" s="345"/>
      <c r="EZ90" s="345"/>
    </row>
    <row r="91" spans="1:156" x14ac:dyDescent="0.35">
      <c r="A91" s="1979"/>
      <c r="B91" s="158" t="s">
        <v>599</v>
      </c>
      <c r="C91" s="159" t="s">
        <v>563</v>
      </c>
      <c r="D91" s="159" t="str">
        <f t="shared" si="110"/>
        <v>Waste oils|Kilowatt hours (KWh)</v>
      </c>
      <c r="E91" s="1276">
        <f>M100</f>
        <v>0.25674000000000002</v>
      </c>
      <c r="F91" s="1276">
        <f>N100</f>
        <v>0.25247999999999998</v>
      </c>
      <c r="G91" s="1276">
        <f>O100</f>
        <v>2.5000000000000001E-4</v>
      </c>
      <c r="H91" s="1276">
        <f>P100</f>
        <v>4.0099999999999997E-3</v>
      </c>
      <c r="J91" s="1977"/>
      <c r="K91" s="1981"/>
      <c r="L91" s="123" t="s">
        <v>1733</v>
      </c>
      <c r="M91" s="126">
        <v>0.27310000000000001</v>
      </c>
      <c r="N91" s="126">
        <v>0.26978000000000002</v>
      </c>
      <c r="O91" s="126">
        <v>2.7999999999999998E-4</v>
      </c>
      <c r="P91" s="126">
        <v>3.0500000000000002E-3</v>
      </c>
      <c r="DK91" s="1967"/>
      <c r="DL91" s="1388" t="s">
        <v>966</v>
      </c>
      <c r="DM91" s="1389" t="str">
        <f t="shared" si="118"/>
        <v>&lt; 1</v>
      </c>
      <c r="DO91" s="1968"/>
      <c r="DP91" s="123" t="s">
        <v>950</v>
      </c>
      <c r="DQ91" s="123" t="s">
        <v>202</v>
      </c>
      <c r="DR91" s="388">
        <v>659</v>
      </c>
      <c r="EP91" s="493"/>
      <c r="EQ91" s="494"/>
      <c r="ER91" s="345"/>
      <c r="ES91" s="345"/>
      <c r="ET91" s="347"/>
      <c r="EU91" s="347"/>
      <c r="EV91" s="347"/>
      <c r="EW91" s="347"/>
      <c r="EX91" s="345"/>
      <c r="EY91" s="345"/>
      <c r="EZ91" s="345"/>
    </row>
    <row r="92" spans="1:156" ht="16.5" x14ac:dyDescent="0.45">
      <c r="A92" s="1979"/>
      <c r="B92" s="158" t="s">
        <v>599</v>
      </c>
      <c r="C92" s="159" t="s">
        <v>575</v>
      </c>
      <c r="D92" s="159" t="str">
        <f t="shared" si="110"/>
        <v>Waste oils|Litres (l)</v>
      </c>
      <c r="E92" s="1275">
        <f>(E93*1000)/'Fuel properties'!H34</f>
        <v>2.7536976942783946</v>
      </c>
      <c r="F92" s="1275">
        <f>(F93*1000)/'Fuel properties'!H34</f>
        <v>2.70801878736123</v>
      </c>
      <c r="G92" s="1275">
        <f>(G93*1000)/'Fuel properties'!H34</f>
        <v>2.7070879590093935E-3</v>
      </c>
      <c r="H92" s="1275">
        <f>(H93*1000)/'Fuel properties'!H34</f>
        <v>4.2980358667805293E-2</v>
      </c>
      <c r="J92" s="1977"/>
      <c r="K92" s="1982"/>
      <c r="L92" s="123" t="s">
        <v>1737</v>
      </c>
      <c r="M92" s="126">
        <v>0.25672</v>
      </c>
      <c r="N92" s="126">
        <v>0.25358999999999998</v>
      </c>
      <c r="O92" s="126">
        <v>2.5999999999999998E-4</v>
      </c>
      <c r="P92" s="126">
        <v>2.8600000000000001E-3</v>
      </c>
      <c r="DK92" s="1967"/>
      <c r="DL92" s="1388" t="s">
        <v>967</v>
      </c>
      <c r="DM92" s="1389" t="str">
        <f t="shared" si="118"/>
        <v>&lt; 1</v>
      </c>
      <c r="DO92" s="1968"/>
      <c r="DP92" s="123" t="s">
        <v>951</v>
      </c>
      <c r="DQ92" s="123" t="s">
        <v>202</v>
      </c>
      <c r="DR92" s="388">
        <v>359</v>
      </c>
      <c r="EP92" s="147" t="s">
        <v>1688</v>
      </c>
      <c r="EQ92" s="331" t="s">
        <v>1702</v>
      </c>
      <c r="ER92" s="122" t="s">
        <v>1850</v>
      </c>
      <c r="ES92" s="122" t="s">
        <v>1689</v>
      </c>
      <c r="ET92" s="123" t="s">
        <v>1690</v>
      </c>
      <c r="EU92" s="123" t="s">
        <v>1691</v>
      </c>
      <c r="EV92" s="123" t="s">
        <v>1692</v>
      </c>
      <c r="EW92" s="123" t="s">
        <v>1693</v>
      </c>
      <c r="EX92" s="345"/>
      <c r="EY92" s="345"/>
      <c r="EZ92" s="345"/>
    </row>
    <row r="93" spans="1:156" x14ac:dyDescent="0.35">
      <c r="A93" s="1979"/>
      <c r="B93" s="158" t="s">
        <v>599</v>
      </c>
      <c r="C93" s="159" t="s">
        <v>569</v>
      </c>
      <c r="D93" s="159" t="str">
        <f t="shared" si="110"/>
        <v>Waste oils|Kilograms (kg)</v>
      </c>
      <c r="E93" s="169">
        <f>M97/1000</f>
        <v>3.22458</v>
      </c>
      <c r="F93" s="169">
        <f>N97/1000</f>
        <v>3.17109</v>
      </c>
      <c r="G93" s="169">
        <f>O97/1000</f>
        <v>3.1700000000000001E-3</v>
      </c>
      <c r="H93" s="169">
        <f>P97/1000</f>
        <v>5.033E-2</v>
      </c>
      <c r="J93" s="1977"/>
      <c r="K93" s="1980" t="s">
        <v>1851</v>
      </c>
      <c r="L93" s="123" t="s">
        <v>316</v>
      </c>
      <c r="M93" s="131">
        <v>2944.82</v>
      </c>
      <c r="N93" s="131">
        <v>2933.33</v>
      </c>
      <c r="O93" s="131">
        <v>3.39</v>
      </c>
      <c r="P93" s="131">
        <v>8.09</v>
      </c>
      <c r="DK93" s="1967" t="s">
        <v>1852</v>
      </c>
      <c r="DL93" s="1388" t="s">
        <v>968</v>
      </c>
      <c r="DM93" s="1389">
        <f>DR117</f>
        <v>1943</v>
      </c>
      <c r="DO93" s="1968"/>
      <c r="DP93" s="123" t="s">
        <v>952</v>
      </c>
      <c r="DQ93" s="123" t="s">
        <v>202</v>
      </c>
      <c r="DR93" s="388">
        <v>575</v>
      </c>
      <c r="EP93" s="1994" t="s">
        <v>1853</v>
      </c>
      <c r="EQ93" s="1968" t="s">
        <v>1854</v>
      </c>
      <c r="ER93" s="123" t="s">
        <v>1855</v>
      </c>
      <c r="ES93" s="123" t="s">
        <v>1093</v>
      </c>
      <c r="ET93" s="489">
        <v>2.941E-3</v>
      </c>
      <c r="EU93" s="489">
        <v>2.8999999999999998E-3</v>
      </c>
      <c r="EV93" s="489">
        <v>9.9999999999999995E-7</v>
      </c>
      <c r="EW93" s="489">
        <v>4.0000000000000003E-5</v>
      </c>
      <c r="EX93" s="345"/>
      <c r="EY93" s="345"/>
      <c r="EZ93" s="345"/>
    </row>
    <row r="94" spans="1:156" ht="16.5" x14ac:dyDescent="0.35">
      <c r="A94" s="1979"/>
      <c r="B94" s="158" t="s">
        <v>599</v>
      </c>
      <c r="C94" s="161" t="s">
        <v>581</v>
      </c>
      <c r="D94" s="159" t="str">
        <f t="shared" si="110"/>
        <v>Waste oils|Cubic metres (m3)</v>
      </c>
      <c r="E94" s="1278">
        <f>E93*'Fuel properties'!G34</f>
        <v>2753.6978071799999</v>
      </c>
      <c r="F94" s="1278">
        <f>F93*'Fuel properties'!G34</f>
        <v>2708.0188983899998</v>
      </c>
      <c r="G94" s="1278">
        <f>G93*'Fuel properties'!G34</f>
        <v>2.7070880700000002</v>
      </c>
      <c r="H94" s="1278">
        <f>H93*'Fuel properties'!G34</f>
        <v>42.980360429999998</v>
      </c>
      <c r="J94" s="1977"/>
      <c r="K94" s="1981"/>
      <c r="L94" s="123" t="s">
        <v>199</v>
      </c>
      <c r="M94" s="132" t="s">
        <v>1838</v>
      </c>
      <c r="N94" s="132" t="s">
        <v>1838</v>
      </c>
      <c r="O94" s="132" t="s">
        <v>1838</v>
      </c>
      <c r="P94" s="132" t="s">
        <v>1838</v>
      </c>
      <c r="DK94" s="1967"/>
      <c r="DL94" s="1388" t="s">
        <v>969</v>
      </c>
      <c r="DM94" s="1389">
        <f t="shared" ref="DM94:DM95" si="119">DR118</f>
        <v>1585</v>
      </c>
      <c r="DO94" s="1968"/>
      <c r="DP94" s="123" t="s">
        <v>953</v>
      </c>
      <c r="DQ94" s="123" t="s">
        <v>202</v>
      </c>
      <c r="DR94" s="388">
        <v>580</v>
      </c>
      <c r="EP94" s="1994"/>
      <c r="EQ94" s="1968"/>
      <c r="ER94" s="123" t="s">
        <v>1856</v>
      </c>
      <c r="ES94" s="123" t="s">
        <v>1093</v>
      </c>
      <c r="ET94" s="489">
        <v>4.4610000000000006E-3</v>
      </c>
      <c r="EU94" s="489">
        <v>4.4000000000000003E-3</v>
      </c>
      <c r="EV94" s="489">
        <v>9.9999999999999995E-7</v>
      </c>
      <c r="EW94" s="489">
        <v>6.0000000000000002E-5</v>
      </c>
      <c r="EX94" s="345"/>
      <c r="EY94" s="345"/>
      <c r="EZ94" s="345"/>
    </row>
    <row r="95" spans="1:156" x14ac:dyDescent="0.35">
      <c r="A95" s="1979"/>
      <c r="B95" s="158" t="s">
        <v>566</v>
      </c>
      <c r="C95" s="159" t="s">
        <v>563</v>
      </c>
      <c r="D95" s="159" t="str">
        <f t="shared" si="110"/>
        <v>Generator Petrol|Kilowatt hours (KWh)</v>
      </c>
      <c r="E95" s="1276">
        <f>M84</f>
        <v>0.2412</v>
      </c>
      <c r="F95" s="1276">
        <f>N84</f>
        <v>0.23985999999999999</v>
      </c>
      <c r="G95" s="1276">
        <f>O84</f>
        <v>7.1000000000000002E-4</v>
      </c>
      <c r="H95" s="1276">
        <f>P84</f>
        <v>6.4000000000000005E-4</v>
      </c>
      <c r="J95" s="1977"/>
      <c r="K95" s="1981"/>
      <c r="L95" s="123" t="s">
        <v>1733</v>
      </c>
      <c r="M95" s="126">
        <v>0.25966</v>
      </c>
      <c r="N95" s="126">
        <v>0.25863999999999998</v>
      </c>
      <c r="O95" s="126">
        <v>2.9999999999999997E-4</v>
      </c>
      <c r="P95" s="126">
        <v>7.1000000000000002E-4</v>
      </c>
      <c r="DK95" s="1967"/>
      <c r="DL95" s="1388" t="s">
        <v>970</v>
      </c>
      <c r="DM95" s="1389">
        <f t="shared" si="119"/>
        <v>4657</v>
      </c>
      <c r="DO95" s="1968"/>
      <c r="DP95" s="123" t="s">
        <v>954</v>
      </c>
      <c r="DQ95" s="123" t="s">
        <v>202</v>
      </c>
      <c r="DR95" s="388">
        <v>110</v>
      </c>
      <c r="EP95" s="1994"/>
      <c r="EQ95" s="1968"/>
      <c r="ER95" s="123" t="s">
        <v>1857</v>
      </c>
      <c r="ES95" s="123" t="s">
        <v>1093</v>
      </c>
      <c r="ET95" s="489">
        <v>5.9820000000000012E-3</v>
      </c>
      <c r="EU95" s="489">
        <v>5.9000000000000007E-3</v>
      </c>
      <c r="EV95" s="489">
        <v>1.9999999999999999E-6</v>
      </c>
      <c r="EW95" s="489">
        <v>8.0000000000000007E-5</v>
      </c>
      <c r="EX95" s="345"/>
      <c r="EY95" s="345"/>
      <c r="EZ95" s="345"/>
    </row>
    <row r="96" spans="1:156" x14ac:dyDescent="0.35">
      <c r="A96" s="1979"/>
      <c r="B96" s="158" t="s">
        <v>566</v>
      </c>
      <c r="C96" s="159" t="s">
        <v>575</v>
      </c>
      <c r="D96" s="159" t="str">
        <f t="shared" si="110"/>
        <v>Generator Petrol|Litres (l)</v>
      </c>
      <c r="E96" s="1276">
        <f>M82</f>
        <v>2.31467</v>
      </c>
      <c r="F96" s="1276">
        <f>N82</f>
        <v>2.3017599999999998</v>
      </c>
      <c r="G96" s="1276">
        <f>O82</f>
        <v>6.7999999999999996E-3</v>
      </c>
      <c r="H96" s="1276">
        <f>P82</f>
        <v>6.11E-3</v>
      </c>
      <c r="J96" s="1977"/>
      <c r="K96" s="1982"/>
      <c r="L96" s="123" t="s">
        <v>1737</v>
      </c>
      <c r="M96" s="126">
        <v>0.24667</v>
      </c>
      <c r="N96" s="126">
        <v>0.24571000000000001</v>
      </c>
      <c r="O96" s="126">
        <v>2.7999999999999998E-4</v>
      </c>
      <c r="P96" s="126">
        <v>6.8000000000000005E-4</v>
      </c>
      <c r="DK96" s="1390"/>
      <c r="DL96" s="1391" t="s">
        <v>971</v>
      </c>
      <c r="DM96" s="1392">
        <v>675</v>
      </c>
      <c r="DO96" s="1968"/>
      <c r="DP96" s="123" t="s">
        <v>955</v>
      </c>
      <c r="DQ96" s="123" t="s">
        <v>202</v>
      </c>
      <c r="DR96" s="388">
        <v>297</v>
      </c>
      <c r="EP96" s="1994"/>
      <c r="EQ96" s="1968"/>
      <c r="ER96" s="123" t="s">
        <v>1858</v>
      </c>
      <c r="ES96" s="123" t="s">
        <v>1093</v>
      </c>
      <c r="ET96" s="489">
        <v>7.6039999999999996E-3</v>
      </c>
      <c r="EU96" s="489">
        <v>7.4999999999999997E-3</v>
      </c>
      <c r="EV96" s="489">
        <v>1.9999999999999999E-6</v>
      </c>
      <c r="EW96" s="489">
        <v>1.02E-4</v>
      </c>
      <c r="EX96" s="345"/>
      <c r="EY96" s="345"/>
      <c r="EZ96" s="345"/>
    </row>
    <row r="97" spans="1:156" x14ac:dyDescent="0.35">
      <c r="A97" s="1979"/>
      <c r="B97" s="158" t="s">
        <v>566</v>
      </c>
      <c r="C97" s="159" t="s">
        <v>569</v>
      </c>
      <c r="D97" s="159" t="str">
        <f t="shared" si="110"/>
        <v>Generator Petrol|Kilograms (kg)</v>
      </c>
      <c r="E97" s="169">
        <f>M81/1000</f>
        <v>3.1525799999999999</v>
      </c>
      <c r="F97" s="169">
        <f>N81/1000</f>
        <v>3.1349999999999998</v>
      </c>
      <c r="G97" s="169">
        <f>O81/1000</f>
        <v>9.2599999999999991E-3</v>
      </c>
      <c r="H97" s="169">
        <f>P81/1000</f>
        <v>8.320000000000001E-3</v>
      </c>
      <c r="J97" s="1977"/>
      <c r="K97" s="1980" t="s">
        <v>599</v>
      </c>
      <c r="L97" s="123" t="s">
        <v>316</v>
      </c>
      <c r="M97" s="131">
        <v>3224.58</v>
      </c>
      <c r="N97" s="131">
        <v>3171.09</v>
      </c>
      <c r="O97" s="131">
        <v>3.17</v>
      </c>
      <c r="P97" s="131">
        <v>50.33</v>
      </c>
      <c r="DO97" s="1968"/>
      <c r="DP97" s="123" t="s">
        <v>956</v>
      </c>
      <c r="DQ97" s="123" t="s">
        <v>202</v>
      </c>
      <c r="DR97" s="388">
        <v>59</v>
      </c>
      <c r="EP97" s="1994"/>
      <c r="EQ97" s="1968"/>
      <c r="ER97" s="123" t="s">
        <v>1859</v>
      </c>
      <c r="ES97" s="123" t="s">
        <v>1093</v>
      </c>
      <c r="ET97" s="489">
        <v>9.2270000000000008E-3</v>
      </c>
      <c r="EU97" s="489">
        <v>9.1000000000000004E-3</v>
      </c>
      <c r="EV97" s="489">
        <v>3.0000000000000001E-6</v>
      </c>
      <c r="EW97" s="489">
        <v>1.2400000000000001E-4</v>
      </c>
      <c r="EX97" s="345"/>
      <c r="EY97" s="345"/>
      <c r="EZ97" s="345"/>
    </row>
    <row r="98" spans="1:156" ht="16.5" x14ac:dyDescent="0.35">
      <c r="A98" s="1979"/>
      <c r="B98" s="158" t="s">
        <v>566</v>
      </c>
      <c r="C98" s="161" t="s">
        <v>581</v>
      </c>
      <c r="D98" s="159" t="str">
        <f t="shared" si="110"/>
        <v>Generator Petrol|Cubic metres (m3)</v>
      </c>
      <c r="E98" s="1278">
        <f>E97*'Fuel properties'!G32</f>
        <v>2314.6683721200002</v>
      </c>
      <c r="F98" s="1278">
        <f>F97*'Fuel properties'!G32</f>
        <v>2301.76089</v>
      </c>
      <c r="G98" s="1278">
        <f>G97*'Fuel properties'!G32</f>
        <v>6.7988216399999999</v>
      </c>
      <c r="H98" s="1278">
        <f>H97*'Fuel properties'!G32</f>
        <v>6.1086604800000011</v>
      </c>
      <c r="J98" s="1977"/>
      <c r="K98" s="1981"/>
      <c r="L98" s="123" t="s">
        <v>199</v>
      </c>
      <c r="M98" s="132" t="s">
        <v>1838</v>
      </c>
      <c r="N98" s="132" t="s">
        <v>1838</v>
      </c>
      <c r="O98" s="132" t="s">
        <v>1838</v>
      </c>
      <c r="P98" s="132" t="s">
        <v>1838</v>
      </c>
      <c r="DO98" s="1968"/>
      <c r="DP98" s="123" t="s">
        <v>957</v>
      </c>
      <c r="DQ98" s="123" t="s">
        <v>202</v>
      </c>
      <c r="DR98" s="388">
        <v>1870</v>
      </c>
      <c r="EP98" s="1994"/>
      <c r="EQ98" s="1968"/>
      <c r="ER98" s="123" t="s">
        <v>1860</v>
      </c>
      <c r="ES98" s="123" t="s">
        <v>1093</v>
      </c>
      <c r="ET98" s="489">
        <v>3.3764000000000002E-2</v>
      </c>
      <c r="EU98" s="489">
        <v>3.3299999999999996E-2</v>
      </c>
      <c r="EV98" s="489">
        <v>1.0000000000000001E-5</v>
      </c>
      <c r="EW98" s="489">
        <v>4.5399999999999998E-4</v>
      </c>
      <c r="EX98" s="345"/>
      <c r="EY98" s="345"/>
      <c r="EZ98" s="345"/>
    </row>
    <row r="99" spans="1:156" x14ac:dyDescent="0.35">
      <c r="A99" s="1979"/>
      <c r="B99" s="158" t="s">
        <v>584</v>
      </c>
      <c r="C99" s="159" t="s">
        <v>563</v>
      </c>
      <c r="D99" s="159" t="str">
        <f>B99&amp;"|"&amp;C99</f>
        <v>Non-Generator Petrol|Kilowatt hours (KWh)</v>
      </c>
      <c r="E99" s="1275">
        <f>M84</f>
        <v>0.2412</v>
      </c>
      <c r="F99" s="1275">
        <f>N84</f>
        <v>0.23985999999999999</v>
      </c>
      <c r="G99" s="1275">
        <f>O84</f>
        <v>7.1000000000000002E-4</v>
      </c>
      <c r="H99" s="1275">
        <f>P84</f>
        <v>6.4000000000000005E-4</v>
      </c>
      <c r="J99" s="1977"/>
      <c r="K99" s="1981"/>
      <c r="L99" s="123" t="s">
        <v>1733</v>
      </c>
      <c r="M99" s="126">
        <v>0.27494000000000002</v>
      </c>
      <c r="N99" s="126">
        <v>0.27038000000000001</v>
      </c>
      <c r="O99" s="126">
        <v>2.7E-4</v>
      </c>
      <c r="P99" s="126">
        <v>4.2900000000000004E-3</v>
      </c>
      <c r="DO99" s="1968"/>
      <c r="DP99" s="123" t="s">
        <v>958</v>
      </c>
      <c r="DQ99" s="123" t="s">
        <v>202</v>
      </c>
      <c r="DR99" s="388">
        <v>2800</v>
      </c>
      <c r="EP99" s="1994"/>
      <c r="EQ99" s="1968"/>
      <c r="ER99" s="123" t="s">
        <v>1789</v>
      </c>
      <c r="ES99" s="123" t="s">
        <v>1093</v>
      </c>
      <c r="ET99" s="489">
        <v>4.5720000000000005E-3</v>
      </c>
      <c r="EU99" s="489">
        <v>4.5100000000000001E-3</v>
      </c>
      <c r="EV99" s="489">
        <v>9.9999999999999995E-7</v>
      </c>
      <c r="EW99" s="489">
        <v>6.0999999999999999E-5</v>
      </c>
      <c r="EX99" s="345"/>
      <c r="EY99" s="345"/>
      <c r="EZ99" s="345"/>
    </row>
    <row r="100" spans="1:156" x14ac:dyDescent="0.35">
      <c r="A100" s="1979"/>
      <c r="B100" s="158" t="s">
        <v>584</v>
      </c>
      <c r="C100" s="159" t="s">
        <v>575</v>
      </c>
      <c r="D100" s="159" t="str">
        <f>B100&amp;"|"&amp;C100</f>
        <v>Non-Generator Petrol|Litres (l)</v>
      </c>
      <c r="E100" s="1275">
        <f>M82</f>
        <v>2.31467</v>
      </c>
      <c r="F100" s="1275">
        <f>N82</f>
        <v>2.3017599999999998</v>
      </c>
      <c r="G100" s="1275">
        <f>O82</f>
        <v>6.7999999999999996E-3</v>
      </c>
      <c r="H100" s="1275">
        <f>P82</f>
        <v>6.11E-3</v>
      </c>
      <c r="J100" s="1977"/>
      <c r="K100" s="1982"/>
      <c r="L100" s="123" t="s">
        <v>1737</v>
      </c>
      <c r="M100" s="126">
        <v>0.25674000000000002</v>
      </c>
      <c r="N100" s="126">
        <v>0.25247999999999998</v>
      </c>
      <c r="O100" s="126">
        <v>2.5000000000000001E-4</v>
      </c>
      <c r="P100" s="126">
        <v>4.0099999999999997E-3</v>
      </c>
      <c r="DO100" s="1968"/>
      <c r="DP100" s="123" t="s">
        <v>959</v>
      </c>
      <c r="DQ100" s="123" t="s">
        <v>202</v>
      </c>
      <c r="DR100" s="388">
        <v>1500</v>
      </c>
      <c r="EP100" s="1994"/>
      <c r="EQ100" s="1968" t="s">
        <v>1861</v>
      </c>
      <c r="ER100" s="123" t="s">
        <v>1862</v>
      </c>
      <c r="ES100" s="123" t="s">
        <v>1093</v>
      </c>
      <c r="ET100" s="489">
        <v>5.7800000000000004E-3</v>
      </c>
      <c r="EU100" s="489">
        <v>5.7000000000000002E-3</v>
      </c>
      <c r="EV100" s="489">
        <v>1.9999999999999999E-6</v>
      </c>
      <c r="EW100" s="489">
        <v>7.7999999999999999E-5</v>
      </c>
      <c r="EX100" s="345"/>
      <c r="EY100" s="345"/>
      <c r="EZ100" s="345"/>
    </row>
    <row r="101" spans="1:156" x14ac:dyDescent="0.35">
      <c r="A101" s="1979"/>
      <c r="B101" s="158" t="s">
        <v>584</v>
      </c>
      <c r="C101" s="159" t="s">
        <v>569</v>
      </c>
      <c r="D101" s="159" t="str">
        <f>B101&amp;"|"&amp;C101</f>
        <v>Non-Generator Petrol|Kilograms (kg)</v>
      </c>
      <c r="E101" s="1275">
        <f>M81/1000</f>
        <v>3.1525799999999999</v>
      </c>
      <c r="F101" s="1275">
        <f>N81/1000</f>
        <v>3.1349999999999998</v>
      </c>
      <c r="G101" s="1275">
        <f>O81/1000</f>
        <v>9.2599999999999991E-3</v>
      </c>
      <c r="H101" s="1275">
        <f>P81/1000</f>
        <v>8.320000000000001E-3</v>
      </c>
      <c r="J101" s="1977"/>
      <c r="K101" s="1980" t="s">
        <v>1863</v>
      </c>
      <c r="L101" s="123" t="s">
        <v>316</v>
      </c>
      <c r="M101" s="131">
        <v>3249.99</v>
      </c>
      <c r="N101" s="131">
        <v>3205.99</v>
      </c>
      <c r="O101" s="131">
        <v>0.81</v>
      </c>
      <c r="P101" s="131">
        <v>43.2</v>
      </c>
      <c r="DO101" s="330"/>
      <c r="DP101" s="128"/>
      <c r="DQ101" s="128"/>
      <c r="DR101" s="128"/>
      <c r="EP101" s="1994"/>
      <c r="EQ101" s="1968"/>
      <c r="ER101" s="123" t="s">
        <v>1864</v>
      </c>
      <c r="ES101" s="123" t="s">
        <v>1093</v>
      </c>
      <c r="ET101" s="489">
        <v>1.0442999999999999E-2</v>
      </c>
      <c r="EU101" s="489">
        <v>1.03E-2</v>
      </c>
      <c r="EV101" s="489">
        <v>3.0000000000000001E-6</v>
      </c>
      <c r="EW101" s="489">
        <v>1.3999999999999999E-4</v>
      </c>
      <c r="EX101" s="345"/>
      <c r="EY101" s="345"/>
      <c r="EZ101" s="345"/>
    </row>
    <row r="102" spans="1:156" ht="16.5" x14ac:dyDescent="0.35">
      <c r="A102" s="1979"/>
      <c r="B102" s="158" t="s">
        <v>584</v>
      </c>
      <c r="C102" s="161" t="s">
        <v>581</v>
      </c>
      <c r="D102" s="159" t="str">
        <f>B102&amp;"|"&amp;C102</f>
        <v>Non-Generator Petrol|Cubic metres (m3)</v>
      </c>
      <c r="E102" s="1278">
        <f>E97*'Fuel properties'!G32</f>
        <v>2314.6683721200002</v>
      </c>
      <c r="F102" s="1278">
        <f>F97*'Fuel properties'!G32</f>
        <v>2301.76089</v>
      </c>
      <c r="G102" s="1278">
        <f>G97*'Fuel properties'!G32</f>
        <v>6.7988216399999999</v>
      </c>
      <c r="H102" s="1278">
        <f>H97*'Fuel properties'!G32</f>
        <v>6.1086604800000011</v>
      </c>
      <c r="J102" s="1977"/>
      <c r="K102" s="1981"/>
      <c r="L102" s="123" t="s">
        <v>199</v>
      </c>
      <c r="M102" s="126">
        <v>2.7753999999999999</v>
      </c>
      <c r="N102" s="126">
        <v>2.7378200000000001</v>
      </c>
      <c r="O102" s="126">
        <v>6.8999999999999997E-4</v>
      </c>
      <c r="P102" s="126">
        <v>3.6889999999999999E-2</v>
      </c>
      <c r="DO102" s="330"/>
      <c r="DP102" s="128"/>
      <c r="DQ102" s="128"/>
      <c r="DR102" s="128"/>
      <c r="EP102" s="1994"/>
      <c r="EQ102" s="1968"/>
      <c r="ER102" s="123" t="s">
        <v>1865</v>
      </c>
      <c r="ES102" s="123" t="s">
        <v>1093</v>
      </c>
      <c r="ET102" s="489">
        <v>1.8960999999999999E-2</v>
      </c>
      <c r="EU102" s="489">
        <v>1.8699999999999998E-2</v>
      </c>
      <c r="EV102" s="489">
        <v>6.0000000000000002E-6</v>
      </c>
      <c r="EW102" s="489">
        <v>2.5500000000000002E-4</v>
      </c>
      <c r="EX102" s="345"/>
      <c r="EY102" s="345"/>
      <c r="EZ102" s="345"/>
    </row>
    <row r="103" spans="1:156" x14ac:dyDescent="0.35">
      <c r="A103" s="1979"/>
      <c r="B103" s="158" t="s">
        <v>601</v>
      </c>
      <c r="C103" s="159" t="s">
        <v>563</v>
      </c>
      <c r="D103" s="159" t="str">
        <f t="shared" si="110"/>
        <v>Biodiesel|Kilowatt hours (KWh)</v>
      </c>
      <c r="E103" s="169" t="s">
        <v>1866</v>
      </c>
      <c r="F103" s="169" t="s">
        <v>1867</v>
      </c>
      <c r="G103" s="169" t="s">
        <v>1868</v>
      </c>
      <c r="H103" s="169" t="s">
        <v>1869</v>
      </c>
      <c r="J103" s="1977"/>
      <c r="K103" s="1981"/>
      <c r="L103" s="123" t="s">
        <v>1733</v>
      </c>
      <c r="M103" s="126">
        <v>0.27484999999999998</v>
      </c>
      <c r="N103" s="126">
        <v>0.27112999999999998</v>
      </c>
      <c r="O103" s="126">
        <v>6.9999999999999994E-5</v>
      </c>
      <c r="P103" s="126">
        <v>3.65E-3</v>
      </c>
      <c r="DO103" s="330"/>
      <c r="DP103" s="128"/>
      <c r="DQ103" s="128"/>
      <c r="DR103" s="128"/>
      <c r="EP103" s="1994"/>
      <c r="EQ103" s="1968"/>
      <c r="ER103" s="123" t="s">
        <v>1870</v>
      </c>
      <c r="ES103" s="123" t="s">
        <v>1093</v>
      </c>
      <c r="ET103" s="489">
        <v>2.9606999999999998E-2</v>
      </c>
      <c r="EU103" s="489">
        <v>2.92E-2</v>
      </c>
      <c r="EV103" s="489">
        <v>9.0000000000000002E-6</v>
      </c>
      <c r="EW103" s="489">
        <v>3.9800000000000002E-4</v>
      </c>
      <c r="EX103" s="345"/>
      <c r="EY103" s="345"/>
      <c r="EZ103" s="345"/>
    </row>
    <row r="104" spans="1:156" ht="16.5" x14ac:dyDescent="0.45">
      <c r="A104" s="1979"/>
      <c r="B104" s="158" t="s">
        <v>601</v>
      </c>
      <c r="C104" s="159" t="s">
        <v>575</v>
      </c>
      <c r="D104" s="159" t="str">
        <f t="shared" si="110"/>
        <v>Biodiesel|Litres (l)</v>
      </c>
      <c r="E104" s="1276">
        <f>U10</f>
        <v>0.1658</v>
      </c>
      <c r="F104" s="1276">
        <f t="shared" ref="F104:H104" si="120">V10</f>
        <v>0</v>
      </c>
      <c r="G104" s="1276">
        <f t="shared" si="120"/>
        <v>0</v>
      </c>
      <c r="H104" s="1276">
        <f t="shared" si="120"/>
        <v>0</v>
      </c>
      <c r="J104" s="1977"/>
      <c r="K104" s="1982"/>
      <c r="L104" s="123" t="s">
        <v>1737</v>
      </c>
      <c r="M104" s="126">
        <v>0.25835999999999998</v>
      </c>
      <c r="N104" s="126">
        <v>0.25485999999999998</v>
      </c>
      <c r="O104" s="126">
        <v>6.0000000000000002E-5</v>
      </c>
      <c r="P104" s="126">
        <v>3.4299999999999999E-3</v>
      </c>
      <c r="DO104" s="331" t="s">
        <v>1688</v>
      </c>
      <c r="DP104" s="122" t="s">
        <v>1706</v>
      </c>
      <c r="DQ104" s="122" t="s">
        <v>1689</v>
      </c>
      <c r="DR104" s="123" t="s">
        <v>1690</v>
      </c>
      <c r="EP104" s="1994"/>
      <c r="EQ104" s="1968"/>
      <c r="ER104" s="123" t="s">
        <v>1871</v>
      </c>
      <c r="ES104" s="123" t="s">
        <v>1093</v>
      </c>
      <c r="ET104" s="489">
        <v>4.5627000000000001E-2</v>
      </c>
      <c r="EU104" s="489">
        <v>4.4999999999999998E-2</v>
      </c>
      <c r="EV104" s="489">
        <v>1.4E-5</v>
      </c>
      <c r="EW104" s="489">
        <v>6.1300000000000005E-4</v>
      </c>
      <c r="EX104" s="345"/>
      <c r="EY104" s="345"/>
      <c r="EZ104" s="345"/>
    </row>
    <row r="105" spans="1:156" x14ac:dyDescent="0.35">
      <c r="A105" s="1979"/>
      <c r="B105" s="158" t="s">
        <v>601</v>
      </c>
      <c r="C105" s="159" t="s">
        <v>569</v>
      </c>
      <c r="D105" s="159" t="str">
        <f t="shared" si="110"/>
        <v>Biodiesel|Kilograms (kg)</v>
      </c>
      <c r="E105" s="1276">
        <f>U12</f>
        <v>0.18629999999999999</v>
      </c>
      <c r="F105" s="1276">
        <f t="shared" ref="F105:H105" si="121">V12</f>
        <v>0</v>
      </c>
      <c r="G105" s="1276">
        <f t="shared" si="121"/>
        <v>0</v>
      </c>
      <c r="H105" s="1276">
        <f t="shared" si="121"/>
        <v>0</v>
      </c>
      <c r="J105" s="1977"/>
      <c r="K105" s="1980" t="s">
        <v>1872</v>
      </c>
      <c r="L105" s="123" t="s">
        <v>316</v>
      </c>
      <c r="M105" s="131">
        <v>3159.5</v>
      </c>
      <c r="N105" s="131">
        <v>3113.99</v>
      </c>
      <c r="O105" s="131">
        <v>1.27</v>
      </c>
      <c r="P105" s="131">
        <v>44.24</v>
      </c>
      <c r="DO105" s="1968" t="s">
        <v>1847</v>
      </c>
      <c r="DP105" s="123" t="s">
        <v>960</v>
      </c>
      <c r="DQ105" s="123" t="s">
        <v>202</v>
      </c>
      <c r="DR105" s="388">
        <v>10300</v>
      </c>
      <c r="EP105" s="1994"/>
      <c r="EQ105" s="1968"/>
      <c r="ER105" s="123" t="s">
        <v>1789</v>
      </c>
      <c r="ES105" s="123" t="s">
        <v>1093</v>
      </c>
      <c r="ET105" s="489">
        <v>9.0339999999999986E-3</v>
      </c>
      <c r="EU105" s="489">
        <v>8.9099999999999995E-3</v>
      </c>
      <c r="EV105" s="489">
        <v>3.0000000000000001E-6</v>
      </c>
      <c r="EW105" s="489">
        <v>1.21E-4</v>
      </c>
      <c r="EX105" s="345"/>
      <c r="EY105" s="345"/>
      <c r="EZ105" s="345"/>
    </row>
    <row r="106" spans="1:156" ht="16.5" x14ac:dyDescent="0.35">
      <c r="A106" s="1979"/>
      <c r="B106" s="158" t="s">
        <v>601</v>
      </c>
      <c r="C106" s="161" t="s">
        <v>581</v>
      </c>
      <c r="D106" s="159" t="str">
        <f t="shared" si="110"/>
        <v>Biodiesel|Cubic metres (m3)</v>
      </c>
      <c r="E106" s="169">
        <f>E105*'Fuel properties'!G38</f>
        <v>165.80699999999999</v>
      </c>
      <c r="F106" s="169">
        <f>F105*'Fuel properties'!G38</f>
        <v>0</v>
      </c>
      <c r="G106" s="169">
        <f>G105*'Fuel properties'!G38</f>
        <v>0</v>
      </c>
      <c r="H106" s="169">
        <f>H105*'Fuel properties'!G38</f>
        <v>0</v>
      </c>
      <c r="J106" s="1977"/>
      <c r="K106" s="1981"/>
      <c r="L106" s="123" t="s">
        <v>199</v>
      </c>
      <c r="M106" s="126">
        <v>3.1220400000000001</v>
      </c>
      <c r="N106" s="126">
        <v>3.07707</v>
      </c>
      <c r="O106" s="126">
        <v>1.2600000000000001E-3</v>
      </c>
      <c r="P106" s="126">
        <v>4.3720000000000002E-2</v>
      </c>
      <c r="DO106" s="1968"/>
      <c r="DP106" s="123" t="s">
        <v>961</v>
      </c>
      <c r="DQ106" s="123" t="s">
        <v>202</v>
      </c>
      <c r="DR106" s="388">
        <v>1</v>
      </c>
      <c r="EP106" s="1994"/>
      <c r="EQ106" s="1968" t="s">
        <v>1873</v>
      </c>
      <c r="ER106" s="123" t="s">
        <v>1874</v>
      </c>
      <c r="ES106" s="123" t="s">
        <v>1093</v>
      </c>
      <c r="ET106" s="489">
        <v>8.5170000000000003E-3</v>
      </c>
      <c r="EU106" s="489">
        <v>8.4000000000000012E-3</v>
      </c>
      <c r="EV106" s="489">
        <v>3.0000000000000001E-6</v>
      </c>
      <c r="EW106" s="489">
        <v>1.1400000000000001E-4</v>
      </c>
      <c r="EX106" s="345"/>
      <c r="EY106" s="345"/>
      <c r="EZ106" s="345"/>
    </row>
    <row r="107" spans="1:156" x14ac:dyDescent="0.35">
      <c r="A107" s="1979"/>
      <c r="B107" s="158" t="s">
        <v>602</v>
      </c>
      <c r="C107" s="159" t="s">
        <v>563</v>
      </c>
      <c r="D107" s="159" t="str">
        <f t="shared" si="110"/>
        <v>Bioethanol|Kilowatt hours (KWh)</v>
      </c>
      <c r="E107" s="169" t="s">
        <v>1866</v>
      </c>
      <c r="F107" s="169" t="s">
        <v>1867</v>
      </c>
      <c r="G107" s="169" t="s">
        <v>1868</v>
      </c>
      <c r="H107" s="169" t="s">
        <v>1869</v>
      </c>
      <c r="J107" s="1977"/>
      <c r="K107" s="1981"/>
      <c r="L107" s="123" t="s">
        <v>1733</v>
      </c>
      <c r="M107" s="126">
        <v>0.27937000000000001</v>
      </c>
      <c r="N107" s="126">
        <v>0.27534999999999998</v>
      </c>
      <c r="O107" s="126">
        <v>1.1E-4</v>
      </c>
      <c r="P107" s="126">
        <v>3.9100000000000003E-3</v>
      </c>
      <c r="DO107" s="1968"/>
      <c r="DP107" s="123" t="s">
        <v>962</v>
      </c>
      <c r="DQ107" s="123" t="s">
        <v>202</v>
      </c>
      <c r="DR107" s="388">
        <v>8.6999999999999993</v>
      </c>
      <c r="EP107" s="1994"/>
      <c r="EQ107" s="1968"/>
      <c r="ER107" s="123" t="s">
        <v>1865</v>
      </c>
      <c r="ES107" s="123" t="s">
        <v>1093</v>
      </c>
      <c r="ET107" s="489">
        <v>1.095E-2</v>
      </c>
      <c r="EU107" s="489">
        <v>1.0800000000000001E-2</v>
      </c>
      <c r="EV107" s="489">
        <v>3.0000000000000001E-6</v>
      </c>
      <c r="EW107" s="489">
        <v>1.47E-4</v>
      </c>
      <c r="EX107" s="345"/>
      <c r="EY107" s="345"/>
      <c r="EZ107" s="345"/>
    </row>
    <row r="108" spans="1:156" x14ac:dyDescent="0.35">
      <c r="A108" s="1979"/>
      <c r="B108" s="158" t="s">
        <v>602</v>
      </c>
      <c r="C108" s="159" t="s">
        <v>575</v>
      </c>
      <c r="D108" s="159" t="str">
        <f t="shared" si="110"/>
        <v>Bioethanol|Litres (l)</v>
      </c>
      <c r="E108" s="1276">
        <f>U7</f>
        <v>8.3700000000000007E-3</v>
      </c>
      <c r="F108" s="1276">
        <f t="shared" ref="F108:H108" si="122">V7</f>
        <v>0</v>
      </c>
      <c r="G108" s="1276">
        <f t="shared" si="122"/>
        <v>0</v>
      </c>
      <c r="H108" s="1276">
        <f t="shared" si="122"/>
        <v>0</v>
      </c>
      <c r="J108" s="1978"/>
      <c r="K108" s="1982"/>
      <c r="L108" s="123" t="s">
        <v>1737</v>
      </c>
      <c r="M108" s="126">
        <v>0.26261000000000001</v>
      </c>
      <c r="N108" s="126">
        <v>0.25883</v>
      </c>
      <c r="O108" s="126">
        <v>1.1E-4</v>
      </c>
      <c r="P108" s="126">
        <v>3.6800000000000001E-3</v>
      </c>
      <c r="DO108" s="1968"/>
      <c r="DP108" s="123" t="s">
        <v>963</v>
      </c>
      <c r="DQ108" s="123" t="s">
        <v>202</v>
      </c>
      <c r="DR108" s="388">
        <v>13</v>
      </c>
      <c r="EP108" s="1994"/>
      <c r="EQ108" s="1968"/>
      <c r="ER108" s="123" t="s">
        <v>1870</v>
      </c>
      <c r="ES108" s="123" t="s">
        <v>1093</v>
      </c>
      <c r="ET108" s="489">
        <v>1.5310999999999998E-2</v>
      </c>
      <c r="EU108" s="489">
        <v>1.5099999999999999E-2</v>
      </c>
      <c r="EV108" s="489">
        <v>5.0000000000000004E-6</v>
      </c>
      <c r="EW108" s="489">
        <v>2.0599999999999999E-4</v>
      </c>
      <c r="EX108" s="345"/>
      <c r="EY108" s="345"/>
      <c r="EZ108" s="345"/>
    </row>
    <row r="109" spans="1:156" x14ac:dyDescent="0.35">
      <c r="A109" s="1979"/>
      <c r="B109" s="158" t="s">
        <v>602</v>
      </c>
      <c r="C109" s="159" t="s">
        <v>569</v>
      </c>
      <c r="D109" s="159" t="str">
        <f t="shared" si="110"/>
        <v>Bioethanol|Kilograms (kg)</v>
      </c>
      <c r="E109" s="1276">
        <f>U9</f>
        <v>1.0540000000000001E-2</v>
      </c>
      <c r="F109" s="1276">
        <f t="shared" ref="F109:H109" si="123">V9</f>
        <v>0</v>
      </c>
      <c r="G109" s="1276">
        <f t="shared" si="123"/>
        <v>0</v>
      </c>
      <c r="H109" s="1276">
        <f t="shared" si="123"/>
        <v>0</v>
      </c>
      <c r="J109" s="345"/>
      <c r="K109" s="345"/>
      <c r="L109" s="345"/>
      <c r="M109" s="344"/>
      <c r="N109" s="344"/>
      <c r="O109" s="344"/>
      <c r="P109" s="344"/>
      <c r="DO109" s="1968"/>
      <c r="DP109" s="123" t="s">
        <v>964</v>
      </c>
      <c r="DQ109" s="123" t="s">
        <v>202</v>
      </c>
      <c r="DR109" s="388">
        <v>3.3</v>
      </c>
      <c r="EP109" s="1994"/>
      <c r="EQ109" s="1968"/>
      <c r="ER109" s="123" t="s">
        <v>1871</v>
      </c>
      <c r="ES109" s="123" t="s">
        <v>1093</v>
      </c>
      <c r="ET109" s="489">
        <v>2.2510000000000002E-2</v>
      </c>
      <c r="EU109" s="489">
        <v>2.2200000000000001E-2</v>
      </c>
      <c r="EV109" s="489">
        <v>6.9999999999999999E-6</v>
      </c>
      <c r="EW109" s="489">
        <v>3.0299999999999999E-4</v>
      </c>
      <c r="EX109" s="345"/>
      <c r="EY109" s="345"/>
      <c r="EZ109" s="345"/>
    </row>
    <row r="110" spans="1:156" ht="16.5" x14ac:dyDescent="0.35">
      <c r="A110" s="1979"/>
      <c r="B110" s="158" t="s">
        <v>602</v>
      </c>
      <c r="C110" s="161" t="s">
        <v>581</v>
      </c>
      <c r="D110" s="159" t="str">
        <f t="shared" si="110"/>
        <v>Bioethanol|Cubic metres (m3)</v>
      </c>
      <c r="E110" s="169">
        <f>E109*'Fuel properties'!G40</f>
        <v>8.36876</v>
      </c>
      <c r="F110" s="169">
        <f>F109*'Fuel properties'!G40</f>
        <v>0</v>
      </c>
      <c r="G110" s="169">
        <f>G109*'Fuel properties'!G40</f>
        <v>0</v>
      </c>
      <c r="H110" s="169">
        <f>H109*'Fuel properties'!G40</f>
        <v>0</v>
      </c>
      <c r="J110" s="345"/>
      <c r="K110" s="345"/>
      <c r="L110" s="345"/>
      <c r="M110" s="344"/>
      <c r="N110" s="344"/>
      <c r="O110" s="344"/>
      <c r="P110" s="344"/>
      <c r="DO110" s="1968"/>
      <c r="DP110" s="123" t="s">
        <v>965</v>
      </c>
      <c r="DQ110" s="123" t="s">
        <v>202</v>
      </c>
      <c r="DR110" s="388">
        <v>3</v>
      </c>
      <c r="EP110" s="1994"/>
      <c r="EQ110" s="1998"/>
      <c r="ER110" s="123" t="s">
        <v>1789</v>
      </c>
      <c r="ES110" s="123" t="s">
        <v>1093</v>
      </c>
      <c r="ET110" s="489">
        <v>1.0322E-2</v>
      </c>
      <c r="EU110" s="489">
        <v>1.018E-2</v>
      </c>
      <c r="EV110" s="489">
        <v>3.0000000000000001E-6</v>
      </c>
      <c r="EW110" s="489">
        <v>1.3899999999999999E-4</v>
      </c>
      <c r="EX110" s="345"/>
      <c r="EY110" s="345"/>
      <c r="EZ110" s="345"/>
    </row>
    <row r="111" spans="1:156" ht="16.5" x14ac:dyDescent="0.45">
      <c r="A111" s="1979"/>
      <c r="B111" s="158" t="s">
        <v>603</v>
      </c>
      <c r="C111" s="159" t="s">
        <v>563</v>
      </c>
      <c r="D111" s="159" t="str">
        <f>B111&amp;"|"&amp;C111</f>
        <v>Other liquid fuel|Kilowatt hours (KWh)</v>
      </c>
      <c r="E111" s="1280" t="s">
        <v>1836</v>
      </c>
      <c r="F111" s="1280" t="s">
        <v>1836</v>
      </c>
      <c r="G111" s="1280" t="s">
        <v>1836</v>
      </c>
      <c r="H111" s="1280" t="s">
        <v>1836</v>
      </c>
      <c r="J111" s="122" t="s">
        <v>1688</v>
      </c>
      <c r="K111" s="122" t="s">
        <v>1682</v>
      </c>
      <c r="L111" s="122" t="s">
        <v>1689</v>
      </c>
      <c r="M111" s="123" t="s">
        <v>1690</v>
      </c>
      <c r="N111" s="123" t="s">
        <v>1691</v>
      </c>
      <c r="O111" s="124" t="s">
        <v>1692</v>
      </c>
      <c r="P111" s="124" t="s">
        <v>1693</v>
      </c>
      <c r="DO111" s="1968"/>
      <c r="DP111" s="123" t="s">
        <v>966</v>
      </c>
      <c r="DQ111" s="123" t="s">
        <v>202</v>
      </c>
      <c r="DR111" s="388" t="s">
        <v>1875</v>
      </c>
      <c r="EP111" s="1994"/>
      <c r="EQ111" s="1982" t="s">
        <v>1876</v>
      </c>
      <c r="ER111" s="123" t="s">
        <v>1877</v>
      </c>
      <c r="ES111" s="123" t="s">
        <v>1093</v>
      </c>
      <c r="ET111" s="489">
        <v>9.4300000000000009E-3</v>
      </c>
      <c r="EU111" s="489">
        <v>9.300000000000001E-3</v>
      </c>
      <c r="EV111" s="489">
        <v>3.0000000000000001E-6</v>
      </c>
      <c r="EW111" s="489">
        <v>1.27E-4</v>
      </c>
      <c r="EX111" s="345"/>
      <c r="EY111" s="345"/>
      <c r="EZ111" s="345"/>
    </row>
    <row r="112" spans="1:156" x14ac:dyDescent="0.35">
      <c r="A112" s="1979"/>
      <c r="B112" s="158" t="s">
        <v>603</v>
      </c>
      <c r="C112" s="159" t="s">
        <v>575</v>
      </c>
      <c r="D112" s="159" t="str">
        <f>B112&amp;"|"&amp;C112</f>
        <v>Other liquid fuel|Litres (l)</v>
      </c>
      <c r="E112" s="1280" t="s">
        <v>1836</v>
      </c>
      <c r="F112" s="1280" t="s">
        <v>1836</v>
      </c>
      <c r="G112" s="1280" t="s">
        <v>1836</v>
      </c>
      <c r="H112" s="1280" t="s">
        <v>1836</v>
      </c>
      <c r="J112" s="1976" t="s">
        <v>1878</v>
      </c>
      <c r="K112" s="1983" t="s">
        <v>1879</v>
      </c>
      <c r="L112" s="123" t="s">
        <v>316</v>
      </c>
      <c r="M112" s="131">
        <v>2380.0100000000002</v>
      </c>
      <c r="N112" s="131">
        <v>2354.5500000000002</v>
      </c>
      <c r="O112" s="131">
        <v>9.66</v>
      </c>
      <c r="P112" s="131">
        <v>15.8</v>
      </c>
      <c r="DO112" s="1968"/>
      <c r="DP112" s="123" t="s">
        <v>967</v>
      </c>
      <c r="DQ112" s="123" t="s">
        <v>202</v>
      </c>
      <c r="DR112" s="388" t="s">
        <v>1875</v>
      </c>
      <c r="EP112" s="1994"/>
      <c r="EQ112" s="1968"/>
      <c r="ER112" s="123" t="s">
        <v>1880</v>
      </c>
      <c r="ES112" s="123" t="s">
        <v>1093</v>
      </c>
      <c r="ET112" s="489">
        <v>1.4702000000000002E-2</v>
      </c>
      <c r="EU112" s="489">
        <v>1.4500000000000001E-2</v>
      </c>
      <c r="EV112" s="489">
        <v>3.9999999999999998E-6</v>
      </c>
      <c r="EW112" s="489">
        <v>1.9799999999999999E-4</v>
      </c>
      <c r="EX112" s="345"/>
      <c r="EY112" s="345"/>
      <c r="EZ112" s="345"/>
    </row>
    <row r="113" spans="1:156" ht="33.5" x14ac:dyDescent="0.35">
      <c r="A113" s="1979"/>
      <c r="B113" s="158" t="s">
        <v>603</v>
      </c>
      <c r="C113" s="159" t="s">
        <v>569</v>
      </c>
      <c r="D113" s="159" t="str">
        <f>B113&amp;"|"&amp;C113</f>
        <v>Other liquid fuel|Kilograms (kg)</v>
      </c>
      <c r="E113" s="1280" t="s">
        <v>1836</v>
      </c>
      <c r="F113" s="1280" t="s">
        <v>1836</v>
      </c>
      <c r="G113" s="1280" t="s">
        <v>1836</v>
      </c>
      <c r="H113" s="1280" t="s">
        <v>1836</v>
      </c>
      <c r="J113" s="1977"/>
      <c r="K113" s="1984"/>
      <c r="L113" s="123" t="s">
        <v>1733</v>
      </c>
      <c r="M113" s="126">
        <v>0.33726</v>
      </c>
      <c r="N113" s="126">
        <v>0.33365</v>
      </c>
      <c r="O113" s="126">
        <v>1.3699999999999999E-3</v>
      </c>
      <c r="P113" s="126">
        <v>2.2399999999999998E-3</v>
      </c>
      <c r="DO113" s="389" t="s">
        <v>1881</v>
      </c>
      <c r="DP113" s="128"/>
      <c r="DQ113" s="128"/>
      <c r="DR113" s="128"/>
      <c r="EP113" s="1994"/>
      <c r="EQ113" s="1968"/>
      <c r="ER113" s="123" t="s">
        <v>1789</v>
      </c>
      <c r="ES113" s="123" t="s">
        <v>1093</v>
      </c>
      <c r="ET113" s="489">
        <v>1.1548000000000001E-2</v>
      </c>
      <c r="EU113" s="489">
        <v>1.1390000000000001E-2</v>
      </c>
      <c r="EV113" s="489">
        <v>3.0000000000000001E-6</v>
      </c>
      <c r="EW113" s="489">
        <v>1.55E-4</v>
      </c>
      <c r="EX113" s="345"/>
      <c r="EY113" s="345"/>
      <c r="EZ113" s="345"/>
    </row>
    <row r="114" spans="1:156" ht="16.5" x14ac:dyDescent="0.35">
      <c r="A114" s="1979"/>
      <c r="B114" s="158" t="s">
        <v>603</v>
      </c>
      <c r="C114" s="161" t="s">
        <v>581</v>
      </c>
      <c r="D114" s="159" t="str">
        <f>B114&amp;"|"&amp;C114</f>
        <v>Other liquid fuel|Cubic metres (m3)</v>
      </c>
      <c r="E114" s="1280" t="s">
        <v>1836</v>
      </c>
      <c r="F114" s="1280" t="s">
        <v>1836</v>
      </c>
      <c r="G114" s="1280" t="s">
        <v>1836</v>
      </c>
      <c r="H114" s="1280" t="s">
        <v>1836</v>
      </c>
      <c r="J114" s="1977"/>
      <c r="K114" s="1985"/>
      <c r="L114" s="123" t="s">
        <v>1737</v>
      </c>
      <c r="M114" s="126">
        <v>0.32040000000000002</v>
      </c>
      <c r="N114" s="126">
        <v>0.31696999999999997</v>
      </c>
      <c r="O114" s="126">
        <v>1.2999999999999999E-3</v>
      </c>
      <c r="P114" s="126">
        <v>2.1299999999999999E-3</v>
      </c>
      <c r="DO114" s="330"/>
      <c r="DP114" s="128"/>
      <c r="DQ114" s="128"/>
      <c r="DR114" s="128"/>
      <c r="EP114" s="1994"/>
      <c r="EQ114" s="1968" t="s">
        <v>1882</v>
      </c>
      <c r="ER114" s="123" t="s">
        <v>1883</v>
      </c>
      <c r="ES114" s="123" t="s">
        <v>1093</v>
      </c>
      <c r="ET114" s="489">
        <v>9.1259999999999987E-3</v>
      </c>
      <c r="EU114" s="489">
        <v>8.9999999999999993E-3</v>
      </c>
      <c r="EV114" s="489">
        <v>3.0000000000000001E-6</v>
      </c>
      <c r="EW114" s="489">
        <v>1.2300000000000001E-4</v>
      </c>
      <c r="EX114" s="345"/>
      <c r="EY114" s="345"/>
      <c r="EZ114" s="345"/>
    </row>
    <row r="115" spans="1:156" ht="29" x14ac:dyDescent="0.35">
      <c r="A115" s="1256" t="s">
        <v>1884</v>
      </c>
      <c r="B115" s="158" t="s">
        <v>1885</v>
      </c>
      <c r="C115" s="159" t="s">
        <v>563</v>
      </c>
      <c r="D115" s="159" t="str">
        <f>B115&amp;"|"&amp;C115</f>
        <v>Heat network|Kilowatt hours (KWh)</v>
      </c>
      <c r="E115" s="1281">
        <f>M147</f>
        <v>0.17261000000000001</v>
      </c>
      <c r="F115" s="1281">
        <f>N147</f>
        <v>0.17102000000000001</v>
      </c>
      <c r="G115" s="1281">
        <f>O147</f>
        <v>1.0300000000000001E-3</v>
      </c>
      <c r="H115" s="1281">
        <f>P147</f>
        <v>5.5000000000000003E-4</v>
      </c>
      <c r="J115" s="1977"/>
      <c r="K115" s="1983" t="s">
        <v>1886</v>
      </c>
      <c r="L115" s="123" t="s">
        <v>316</v>
      </c>
      <c r="M115" s="131">
        <v>2222.94</v>
      </c>
      <c r="N115" s="131">
        <v>2209.75</v>
      </c>
      <c r="O115" s="131">
        <v>0.6</v>
      </c>
      <c r="P115" s="131">
        <v>12.59</v>
      </c>
      <c r="DO115" s="330"/>
      <c r="DP115" s="128"/>
      <c r="DQ115" s="128"/>
      <c r="DR115" s="128"/>
      <c r="EP115" s="1994"/>
      <c r="EQ115" s="1968"/>
      <c r="ER115" s="123" t="s">
        <v>1887</v>
      </c>
      <c r="ES115" s="123" t="s">
        <v>1093</v>
      </c>
      <c r="ET115" s="489">
        <v>4.4105999999999999E-2</v>
      </c>
      <c r="EU115" s="489">
        <v>4.3499999999999997E-2</v>
      </c>
      <c r="EV115" s="489">
        <v>1.2999999999999999E-5</v>
      </c>
      <c r="EW115" s="489">
        <v>5.9299999999999999E-4</v>
      </c>
      <c r="EX115" s="345"/>
      <c r="EY115" s="345"/>
      <c r="EZ115" s="345"/>
    </row>
    <row r="116" spans="1:156" ht="16.5" x14ac:dyDescent="0.45">
      <c r="A116" s="1979" t="s">
        <v>1888</v>
      </c>
      <c r="B116" s="158" t="s">
        <v>1800</v>
      </c>
      <c r="C116" s="159" t="s">
        <v>563</v>
      </c>
      <c r="D116" s="158" t="s">
        <v>1889</v>
      </c>
      <c r="E116" s="1249">
        <v>0.20599999999999999</v>
      </c>
      <c r="F116" s="1249"/>
      <c r="G116" s="1249"/>
      <c r="H116" s="1249"/>
      <c r="J116" s="1977"/>
      <c r="K116" s="1984"/>
      <c r="L116" s="123" t="s">
        <v>1733</v>
      </c>
      <c r="M116" s="126">
        <v>0.33333000000000002</v>
      </c>
      <c r="N116" s="126">
        <v>0.33134999999999998</v>
      </c>
      <c r="O116" s="126">
        <v>9.0000000000000006E-5</v>
      </c>
      <c r="P116" s="126">
        <v>1.89E-3</v>
      </c>
      <c r="DO116" s="331" t="s">
        <v>1688</v>
      </c>
      <c r="DP116" s="122" t="s">
        <v>1706</v>
      </c>
      <c r="DQ116" s="122" t="s">
        <v>1689</v>
      </c>
      <c r="DR116" s="123" t="s">
        <v>1690</v>
      </c>
      <c r="EP116" s="1994"/>
      <c r="EQ116" s="1968"/>
      <c r="ER116" s="123" t="s">
        <v>1789</v>
      </c>
      <c r="ES116" s="123" t="s">
        <v>1093</v>
      </c>
      <c r="ET116" s="489">
        <v>1.0383E-2</v>
      </c>
      <c r="EU116" s="489">
        <v>1.0240000000000001E-2</v>
      </c>
      <c r="EV116" s="489">
        <v>3.0000000000000001E-6</v>
      </c>
      <c r="EW116" s="489">
        <v>1.3999999999999999E-4</v>
      </c>
      <c r="EX116" s="345"/>
      <c r="EY116" s="345"/>
      <c r="EZ116" s="345"/>
    </row>
    <row r="117" spans="1:156" x14ac:dyDescent="0.35">
      <c r="A117" s="1979"/>
      <c r="B117" s="158" t="s">
        <v>1890</v>
      </c>
      <c r="C117" s="159" t="s">
        <v>563</v>
      </c>
      <c r="D117" s="158" t="s">
        <v>1889</v>
      </c>
      <c r="E117" s="1249">
        <v>4.2999999999999997E-2</v>
      </c>
      <c r="F117" s="1249"/>
      <c r="G117" s="1249"/>
      <c r="H117" s="1249"/>
      <c r="J117" s="1977"/>
      <c r="K117" s="1985"/>
      <c r="L117" s="123" t="s">
        <v>1737</v>
      </c>
      <c r="M117" s="126">
        <v>0.31666</v>
      </c>
      <c r="N117" s="126">
        <v>0.31478</v>
      </c>
      <c r="O117" s="126">
        <v>9.0000000000000006E-5</v>
      </c>
      <c r="P117" s="126">
        <v>1.7899999999999999E-3</v>
      </c>
      <c r="DO117" s="1968" t="s">
        <v>1852</v>
      </c>
      <c r="DP117" s="123" t="s">
        <v>968</v>
      </c>
      <c r="DQ117" s="123" t="s">
        <v>202</v>
      </c>
      <c r="DR117" s="388">
        <v>1943</v>
      </c>
      <c r="EP117" s="493"/>
      <c r="EQ117" s="494"/>
      <c r="ER117" s="345"/>
      <c r="ES117" s="345"/>
      <c r="ET117" s="345"/>
      <c r="EU117" s="345"/>
      <c r="EV117" s="345"/>
      <c r="EW117" s="345"/>
      <c r="EX117" s="345"/>
      <c r="EY117" s="345"/>
      <c r="EZ117" s="345"/>
    </row>
    <row r="118" spans="1:156" x14ac:dyDescent="0.35">
      <c r="A118" s="1979"/>
      <c r="B118" s="158" t="s">
        <v>1891</v>
      </c>
      <c r="C118" s="159" t="s">
        <v>563</v>
      </c>
      <c r="D118" s="158" t="s">
        <v>1889</v>
      </c>
      <c r="E118" s="1249">
        <v>0.42899999999999999</v>
      </c>
      <c r="F118" s="1249"/>
      <c r="G118" s="1249"/>
      <c r="H118" s="1249"/>
      <c r="J118" s="1977"/>
      <c r="K118" s="1983" t="s">
        <v>1892</v>
      </c>
      <c r="L118" s="123" t="s">
        <v>316</v>
      </c>
      <c r="M118" s="131">
        <v>2883.26</v>
      </c>
      <c r="N118" s="131">
        <v>2632</v>
      </c>
      <c r="O118" s="131">
        <v>214.6</v>
      </c>
      <c r="P118" s="131">
        <v>36.659999999999997</v>
      </c>
      <c r="DO118" s="1968"/>
      <c r="DP118" s="123" t="s">
        <v>969</v>
      </c>
      <c r="DQ118" s="123" t="s">
        <v>202</v>
      </c>
      <c r="DR118" s="388">
        <v>1585</v>
      </c>
      <c r="EP118" s="493"/>
      <c r="EQ118" s="494"/>
      <c r="ER118" s="345"/>
      <c r="ES118" s="345"/>
      <c r="ET118" s="345"/>
      <c r="EU118" s="345"/>
      <c r="EV118" s="345"/>
      <c r="EW118" s="345"/>
      <c r="EX118" s="345"/>
      <c r="EY118" s="345"/>
      <c r="EZ118" s="345"/>
    </row>
    <row r="119" spans="1:156" x14ac:dyDescent="0.35">
      <c r="A119" s="1979"/>
      <c r="B119" s="158" t="s">
        <v>1893</v>
      </c>
      <c r="C119" s="159" t="s">
        <v>563</v>
      </c>
      <c r="D119" s="158" t="s">
        <v>1889</v>
      </c>
      <c r="E119" s="1249">
        <v>4.2999999999999997E-2</v>
      </c>
      <c r="F119" s="1249"/>
      <c r="G119" s="1249"/>
      <c r="H119" s="1249"/>
      <c r="J119" s="1977"/>
      <c r="K119" s="1984"/>
      <c r="L119" s="123" t="s">
        <v>1733</v>
      </c>
      <c r="M119" s="126">
        <v>0.36276000000000003</v>
      </c>
      <c r="N119" s="126">
        <v>0.33115</v>
      </c>
      <c r="O119" s="126">
        <v>2.7E-2</v>
      </c>
      <c r="P119" s="126">
        <v>4.6100000000000004E-3</v>
      </c>
      <c r="DO119" s="1968"/>
      <c r="DP119" s="123" t="s">
        <v>970</v>
      </c>
      <c r="DQ119" s="123" t="s">
        <v>202</v>
      </c>
      <c r="DR119" s="388">
        <v>4657</v>
      </c>
      <c r="EP119" s="493"/>
      <c r="EQ119" s="494"/>
      <c r="ER119" s="345"/>
      <c r="ES119" s="345"/>
      <c r="ET119" s="347"/>
      <c r="EU119" s="347"/>
      <c r="EV119" s="347"/>
      <c r="EW119" s="347"/>
      <c r="EX119" s="345"/>
      <c r="EY119" s="345"/>
      <c r="EZ119" s="345"/>
    </row>
    <row r="120" spans="1:156" ht="16.5" x14ac:dyDescent="0.45">
      <c r="A120" s="1979"/>
      <c r="B120" s="158" t="s">
        <v>1894</v>
      </c>
      <c r="C120" s="159" t="s">
        <v>563</v>
      </c>
      <c r="D120" s="158" t="s">
        <v>1889</v>
      </c>
      <c r="E120" s="1249">
        <v>4.2999999999999997E-2</v>
      </c>
      <c r="F120" s="1249"/>
      <c r="G120" s="1249"/>
      <c r="H120" s="1249"/>
      <c r="J120" s="1977"/>
      <c r="K120" s="1985"/>
      <c r="L120" s="123" t="s">
        <v>1737</v>
      </c>
      <c r="M120" s="126">
        <v>0.34461999999999998</v>
      </c>
      <c r="N120" s="126">
        <v>0.31458999999999998</v>
      </c>
      <c r="O120" s="126">
        <v>2.5649999999999999E-2</v>
      </c>
      <c r="P120" s="126">
        <v>4.3800000000000002E-3</v>
      </c>
      <c r="EP120" s="147" t="s">
        <v>1688</v>
      </c>
      <c r="EQ120" s="331" t="s">
        <v>1702</v>
      </c>
      <c r="ER120" s="122" t="s">
        <v>1850</v>
      </c>
      <c r="ES120" s="122" t="s">
        <v>1689</v>
      </c>
      <c r="ET120" s="123" t="s">
        <v>1690</v>
      </c>
      <c r="EU120" s="123" t="s">
        <v>1691</v>
      </c>
      <c r="EV120" s="123" t="s">
        <v>1692</v>
      </c>
      <c r="EW120" s="123" t="s">
        <v>1693</v>
      </c>
      <c r="EX120" s="345"/>
      <c r="EY120" s="345"/>
      <c r="EZ120" s="345"/>
    </row>
    <row r="121" spans="1:156" x14ac:dyDescent="0.35">
      <c r="A121" s="1979"/>
      <c r="B121" s="158" t="s">
        <v>1895</v>
      </c>
      <c r="C121" s="159" t="s">
        <v>563</v>
      </c>
      <c r="D121" s="158" t="s">
        <v>1889</v>
      </c>
      <c r="E121" s="1249">
        <v>0.42599999999999999</v>
      </c>
      <c r="F121" s="1249"/>
      <c r="G121" s="1249"/>
      <c r="H121" s="1249"/>
      <c r="J121" s="1977"/>
      <c r="K121" s="319"/>
      <c r="L121" s="123"/>
      <c r="M121" s="126"/>
      <c r="N121" s="126"/>
      <c r="O121" s="126"/>
      <c r="P121" s="126"/>
      <c r="EP121" s="1994" t="s">
        <v>1896</v>
      </c>
      <c r="EQ121" s="1968" t="s">
        <v>1897</v>
      </c>
      <c r="ER121" s="123" t="s">
        <v>1855</v>
      </c>
      <c r="ES121" s="123" t="s">
        <v>1093</v>
      </c>
      <c r="ET121" s="489">
        <v>2.5350000000000004E-3</v>
      </c>
      <c r="EU121" s="489">
        <v>2.5000000000000001E-3</v>
      </c>
      <c r="EV121" s="489">
        <v>9.9999999999999995E-7</v>
      </c>
      <c r="EW121" s="489">
        <v>3.4E-5</v>
      </c>
      <c r="EX121" s="345"/>
      <c r="EY121" s="345"/>
      <c r="EZ121" s="345"/>
    </row>
    <row r="122" spans="1:156" x14ac:dyDescent="0.35">
      <c r="A122" s="1979"/>
      <c r="B122" s="158" t="s">
        <v>1898</v>
      </c>
      <c r="C122" s="159" t="s">
        <v>563</v>
      </c>
      <c r="D122" s="158" t="s">
        <v>1889</v>
      </c>
      <c r="E122" s="1249">
        <v>0.49299999999999999</v>
      </c>
      <c r="F122" s="1249"/>
      <c r="G122" s="1249"/>
      <c r="H122" s="1249"/>
      <c r="J122" s="1977"/>
      <c r="K122" s="319"/>
      <c r="L122" s="123"/>
      <c r="M122" s="126"/>
      <c r="N122" s="126"/>
      <c r="O122" s="126"/>
      <c r="P122" s="126"/>
      <c r="EP122" s="1994"/>
      <c r="EQ122" s="1968"/>
      <c r="ER122" s="123" t="s">
        <v>1899</v>
      </c>
      <c r="ES122" s="123" t="s">
        <v>1093</v>
      </c>
      <c r="ET122" s="489">
        <v>3.042E-3</v>
      </c>
      <c r="EU122" s="489">
        <v>3.0000000000000001E-3</v>
      </c>
      <c r="EV122" s="489">
        <v>9.9999999999999995E-7</v>
      </c>
      <c r="EW122" s="489">
        <v>4.1E-5</v>
      </c>
      <c r="EX122" s="345"/>
      <c r="EY122" s="345"/>
      <c r="EZ122" s="345"/>
    </row>
    <row r="123" spans="1:156" x14ac:dyDescent="0.35">
      <c r="A123" s="1979"/>
      <c r="B123" s="158" t="s">
        <v>1900</v>
      </c>
      <c r="C123" s="159" t="s">
        <v>563</v>
      </c>
      <c r="D123" s="158" t="s">
        <v>1889</v>
      </c>
      <c r="E123" s="1249">
        <v>0.52700000000000002</v>
      </c>
      <c r="F123" s="1249"/>
      <c r="G123" s="1249"/>
      <c r="H123" s="1249"/>
      <c r="J123" s="1977"/>
      <c r="K123" s="319"/>
      <c r="L123" s="123"/>
      <c r="M123" s="126"/>
      <c r="N123" s="126"/>
      <c r="O123" s="126"/>
      <c r="P123" s="126"/>
      <c r="EP123" s="1994"/>
      <c r="EQ123" s="1968"/>
      <c r="ER123" s="123" t="s">
        <v>1901</v>
      </c>
      <c r="ES123" s="123" t="s">
        <v>1093</v>
      </c>
      <c r="ET123" s="489">
        <v>4.1569999999999992E-3</v>
      </c>
      <c r="EU123" s="489">
        <v>4.0999999999999995E-3</v>
      </c>
      <c r="EV123" s="489">
        <v>9.9999999999999995E-7</v>
      </c>
      <c r="EW123" s="489">
        <v>5.5999999999999999E-5</v>
      </c>
      <c r="EX123" s="345"/>
      <c r="EY123" s="345"/>
      <c r="EZ123" s="345"/>
    </row>
    <row r="124" spans="1:156" x14ac:dyDescent="0.35">
      <c r="A124" s="1979"/>
      <c r="B124" s="158" t="s">
        <v>1902</v>
      </c>
      <c r="C124" s="159" t="s">
        <v>563</v>
      </c>
      <c r="D124" s="523" t="s">
        <v>1889</v>
      </c>
      <c r="E124" s="1249">
        <v>0.35</v>
      </c>
      <c r="F124" s="1249"/>
      <c r="G124" s="1249"/>
      <c r="H124" s="1249"/>
      <c r="J124" s="1977"/>
      <c r="K124" s="319"/>
      <c r="L124" s="123"/>
      <c r="M124" s="126"/>
      <c r="N124" s="126"/>
      <c r="O124" s="126"/>
      <c r="P124" s="126"/>
      <c r="EP124" s="1994"/>
      <c r="EQ124" s="1968"/>
      <c r="ER124" s="123" t="s">
        <v>1903</v>
      </c>
      <c r="ES124" s="123" t="s">
        <v>1093</v>
      </c>
      <c r="ET124" s="489">
        <v>5.7800000000000004E-3</v>
      </c>
      <c r="EU124" s="489">
        <v>5.7000000000000002E-3</v>
      </c>
      <c r="EV124" s="489">
        <v>1.9999999999999999E-6</v>
      </c>
      <c r="EW124" s="489">
        <v>7.7999999999999999E-5</v>
      </c>
      <c r="EX124" s="345"/>
      <c r="EY124" s="345"/>
      <c r="EZ124" s="345"/>
    </row>
    <row r="125" spans="1:156" x14ac:dyDescent="0.35">
      <c r="A125" s="1979"/>
      <c r="B125" s="158" t="s">
        <v>1904</v>
      </c>
      <c r="C125" s="159" t="s">
        <v>563</v>
      </c>
      <c r="D125" s="523" t="s">
        <v>1889</v>
      </c>
      <c r="E125" s="1249">
        <v>0.247</v>
      </c>
      <c r="F125" s="1249"/>
      <c r="G125" s="1249"/>
      <c r="H125" s="1249"/>
      <c r="J125" s="1977"/>
      <c r="K125" s="319"/>
      <c r="L125" s="123"/>
      <c r="M125" s="126"/>
      <c r="N125" s="126"/>
      <c r="O125" s="126"/>
      <c r="P125" s="126"/>
      <c r="EP125" s="1994"/>
      <c r="EQ125" s="1968"/>
      <c r="ER125" s="123" t="s">
        <v>1905</v>
      </c>
      <c r="ES125" s="123" t="s">
        <v>1093</v>
      </c>
      <c r="ET125" s="489">
        <v>8.0100000000000015E-3</v>
      </c>
      <c r="EU125" s="489">
        <v>7.9000000000000008E-3</v>
      </c>
      <c r="EV125" s="489">
        <v>1.9999999999999999E-6</v>
      </c>
      <c r="EW125" s="489">
        <v>1.08E-4</v>
      </c>
      <c r="EX125" s="345"/>
      <c r="EY125" s="345"/>
      <c r="EZ125" s="345"/>
    </row>
    <row r="126" spans="1:156" x14ac:dyDescent="0.35">
      <c r="A126" s="1979"/>
      <c r="B126" s="158" t="s">
        <v>1906</v>
      </c>
      <c r="C126" s="159" t="s">
        <v>563</v>
      </c>
      <c r="D126" s="158" t="s">
        <v>1889</v>
      </c>
      <c r="E126" s="1249">
        <v>0.45</v>
      </c>
      <c r="F126" s="1249"/>
      <c r="G126" s="1249"/>
      <c r="H126" s="1249"/>
      <c r="J126" s="1977"/>
      <c r="K126" s="1983" t="s">
        <v>1907</v>
      </c>
      <c r="L126" s="123" t="s">
        <v>316</v>
      </c>
      <c r="M126" s="131">
        <v>3222.04</v>
      </c>
      <c r="N126" s="131">
        <v>3200.96</v>
      </c>
      <c r="O126" s="131">
        <v>7.56</v>
      </c>
      <c r="P126" s="131">
        <v>13.52</v>
      </c>
      <c r="EP126" s="1994"/>
      <c r="EQ126" s="1968"/>
      <c r="ER126" s="123" t="s">
        <v>1860</v>
      </c>
      <c r="ES126" s="123" t="s">
        <v>1093</v>
      </c>
      <c r="ET126" s="489">
        <v>2.9606999999999998E-2</v>
      </c>
      <c r="EU126" s="489">
        <v>2.92E-2</v>
      </c>
      <c r="EV126" s="489">
        <v>9.0000000000000002E-6</v>
      </c>
      <c r="EW126" s="489">
        <v>3.9800000000000002E-4</v>
      </c>
      <c r="EX126" s="345"/>
      <c r="EY126" s="345"/>
      <c r="EZ126" s="345"/>
    </row>
    <row r="127" spans="1:156" x14ac:dyDescent="0.35">
      <c r="A127" s="1979"/>
      <c r="B127" s="158" t="s">
        <v>1908</v>
      </c>
      <c r="C127" s="159" t="s">
        <v>563</v>
      </c>
      <c r="D127" s="158" t="s">
        <v>1889</v>
      </c>
      <c r="E127" s="1249">
        <v>0.41199999999999998</v>
      </c>
      <c r="F127" s="1249"/>
      <c r="G127" s="1249"/>
      <c r="H127" s="1249"/>
      <c r="J127" s="1977"/>
      <c r="K127" s="1984"/>
      <c r="L127" s="123" t="s">
        <v>1733</v>
      </c>
      <c r="M127" s="126">
        <v>0.38357999999999998</v>
      </c>
      <c r="N127" s="126">
        <v>0.38107000000000002</v>
      </c>
      <c r="O127" s="126">
        <v>8.9999999999999998E-4</v>
      </c>
      <c r="P127" s="126">
        <v>1.6100000000000001E-3</v>
      </c>
      <c r="EP127" s="1994"/>
      <c r="EQ127" s="1968"/>
      <c r="ER127" s="123" t="s">
        <v>1789</v>
      </c>
      <c r="ES127" s="123" t="s">
        <v>1093</v>
      </c>
      <c r="ET127" s="489">
        <v>3.539E-3</v>
      </c>
      <c r="EU127" s="489">
        <v>3.49E-3</v>
      </c>
      <c r="EV127" s="489">
        <v>9.9999999999999995E-7</v>
      </c>
      <c r="EW127" s="489">
        <v>4.8000000000000001E-5</v>
      </c>
      <c r="EX127" s="345"/>
      <c r="EY127" s="345"/>
      <c r="EZ127" s="345"/>
    </row>
    <row r="128" spans="1:156" x14ac:dyDescent="0.35">
      <c r="A128" s="1979"/>
      <c r="B128" s="158" t="s">
        <v>1909</v>
      </c>
      <c r="C128" s="159" t="s">
        <v>563</v>
      </c>
      <c r="D128" s="158" t="s">
        <v>1910</v>
      </c>
      <c r="E128" s="1249">
        <v>9.0999999999999998E-2</v>
      </c>
      <c r="F128" s="1249"/>
      <c r="G128" s="1249"/>
      <c r="H128" s="1249"/>
      <c r="J128" s="1977"/>
      <c r="K128" s="1985"/>
      <c r="L128" s="123" t="s">
        <v>1737</v>
      </c>
      <c r="M128" s="126">
        <v>0.3644</v>
      </c>
      <c r="N128" s="126">
        <v>0.36201</v>
      </c>
      <c r="O128" s="126">
        <v>8.4999999999999995E-4</v>
      </c>
      <c r="P128" s="126">
        <v>1.5299999999999999E-3</v>
      </c>
      <c r="EP128" s="1994"/>
      <c r="EQ128" s="1968" t="s">
        <v>1911</v>
      </c>
      <c r="ER128" s="123" t="s">
        <v>1912</v>
      </c>
      <c r="ES128" s="123" t="s">
        <v>1093</v>
      </c>
      <c r="ET128" s="489">
        <v>1.2066000000000002E-2</v>
      </c>
      <c r="EU128" s="489">
        <v>1.1900000000000001E-2</v>
      </c>
      <c r="EV128" s="489">
        <v>3.9999999999999998E-6</v>
      </c>
      <c r="EW128" s="489">
        <v>1.6200000000000001E-4</v>
      </c>
      <c r="EX128" s="345"/>
      <c r="EY128" s="345"/>
      <c r="EZ128" s="345"/>
    </row>
    <row r="129" spans="1:156" x14ac:dyDescent="0.35">
      <c r="A129" s="1979"/>
      <c r="B129" s="158" t="s">
        <v>1913</v>
      </c>
      <c r="C129" s="159" t="s">
        <v>563</v>
      </c>
      <c r="D129" s="523" t="s">
        <v>1889</v>
      </c>
      <c r="E129" s="1249">
        <v>0.41099999999999998</v>
      </c>
      <c r="F129" s="1249"/>
      <c r="G129" s="1249"/>
      <c r="H129" s="1249"/>
      <c r="J129" s="1977"/>
      <c r="K129" s="319"/>
      <c r="L129" s="123"/>
      <c r="M129" s="126"/>
      <c r="N129" s="126"/>
      <c r="O129" s="126"/>
      <c r="P129" s="126"/>
      <c r="EP129" s="1994"/>
      <c r="EQ129" s="1968"/>
      <c r="ER129" s="123" t="s">
        <v>1870</v>
      </c>
      <c r="ES129" s="123" t="s">
        <v>1093</v>
      </c>
      <c r="ET129" s="489">
        <v>1.6020000000000003E-2</v>
      </c>
      <c r="EU129" s="489">
        <v>1.5800000000000002E-2</v>
      </c>
      <c r="EV129" s="489">
        <v>5.0000000000000004E-6</v>
      </c>
      <c r="EW129" s="489">
        <v>2.1499999999999999E-4</v>
      </c>
      <c r="EX129" s="345"/>
      <c r="EY129" s="345"/>
      <c r="EZ129" s="345"/>
    </row>
    <row r="130" spans="1:156" x14ac:dyDescent="0.35">
      <c r="A130" s="1979"/>
      <c r="B130" s="158" t="s">
        <v>1914</v>
      </c>
      <c r="C130" s="159" t="s">
        <v>563</v>
      </c>
      <c r="D130" s="523" t="s">
        <v>1889</v>
      </c>
      <c r="E130" s="1249">
        <v>0.433</v>
      </c>
      <c r="F130" s="1249"/>
      <c r="G130" s="1249"/>
      <c r="H130" s="1249"/>
      <c r="J130" s="1977"/>
      <c r="K130" s="319"/>
      <c r="L130" s="123"/>
      <c r="M130" s="126"/>
      <c r="N130" s="126"/>
      <c r="O130" s="126"/>
      <c r="P130" s="126"/>
      <c r="EP130" s="1994"/>
      <c r="EQ130" s="1968"/>
      <c r="ER130" s="123" t="s">
        <v>1871</v>
      </c>
      <c r="ES130" s="123" t="s">
        <v>1093</v>
      </c>
      <c r="ET130" s="489">
        <v>1.4093000000000001E-2</v>
      </c>
      <c r="EU130" s="489">
        <v>1.3900000000000001E-2</v>
      </c>
      <c r="EV130" s="489">
        <v>3.9999999999999998E-6</v>
      </c>
      <c r="EW130" s="489">
        <v>1.8900000000000001E-4</v>
      </c>
      <c r="EX130" s="345"/>
      <c r="EY130" s="345"/>
      <c r="EZ130" s="345"/>
    </row>
    <row r="131" spans="1:156" x14ac:dyDescent="0.35">
      <c r="A131" s="1979"/>
      <c r="B131" s="158" t="s">
        <v>1915</v>
      </c>
      <c r="C131" s="159" t="s">
        <v>563</v>
      </c>
      <c r="D131" s="523" t="s">
        <v>1889</v>
      </c>
      <c r="E131" s="1249">
        <v>0.46200000000000002</v>
      </c>
      <c r="F131" s="1249"/>
      <c r="G131" s="1249"/>
      <c r="H131" s="1249"/>
      <c r="J131" s="1977"/>
      <c r="K131" s="319"/>
      <c r="L131" s="123"/>
      <c r="M131" s="126"/>
      <c r="N131" s="126"/>
      <c r="O131" s="126"/>
      <c r="P131" s="126"/>
      <c r="EP131" s="1994"/>
      <c r="EQ131" s="1968"/>
      <c r="ER131" s="123" t="s">
        <v>1916</v>
      </c>
      <c r="ES131" s="123" t="s">
        <v>1093</v>
      </c>
      <c r="ET131" s="489">
        <v>1.1153E-2</v>
      </c>
      <c r="EU131" s="489">
        <v>1.0999999999999999E-2</v>
      </c>
      <c r="EV131" s="489">
        <v>3.0000000000000001E-6</v>
      </c>
      <c r="EW131" s="489">
        <v>1.4999999999999999E-4</v>
      </c>
      <c r="EX131" s="345"/>
      <c r="EY131" s="345"/>
      <c r="EZ131" s="345"/>
    </row>
    <row r="132" spans="1:156" x14ac:dyDescent="0.35">
      <c r="A132" s="1979"/>
      <c r="B132" s="158" t="s">
        <v>1917</v>
      </c>
      <c r="C132" s="159" t="s">
        <v>563</v>
      </c>
      <c r="D132" s="158" t="s">
        <v>1889</v>
      </c>
      <c r="E132" s="1249">
        <v>0.47499999999999998</v>
      </c>
      <c r="F132" s="1249"/>
      <c r="G132" s="1249"/>
      <c r="H132" s="1249"/>
      <c r="J132" s="1977"/>
      <c r="K132" s="319"/>
      <c r="L132" s="123"/>
      <c r="M132" s="126"/>
      <c r="N132" s="126"/>
      <c r="O132" s="126"/>
      <c r="P132" s="126"/>
      <c r="EP132" s="1994"/>
      <c r="EQ132" s="1968"/>
      <c r="ER132" s="123" t="s">
        <v>1918</v>
      </c>
      <c r="ES132" s="123" t="s">
        <v>1093</v>
      </c>
      <c r="ET132" s="489">
        <v>1.7744000000000003E-2</v>
      </c>
      <c r="EU132" s="489">
        <v>1.7500000000000002E-2</v>
      </c>
      <c r="EV132" s="489">
        <v>5.0000000000000004E-6</v>
      </c>
      <c r="EW132" s="489">
        <v>2.3900000000000001E-4</v>
      </c>
      <c r="EX132" s="345"/>
      <c r="EY132" s="345"/>
      <c r="EZ132" s="345"/>
    </row>
    <row r="133" spans="1:156" x14ac:dyDescent="0.35">
      <c r="A133" s="1979"/>
      <c r="B133" s="158" t="s">
        <v>1919</v>
      </c>
      <c r="C133" s="159" t="s">
        <v>563</v>
      </c>
      <c r="D133" s="158" t="s">
        <v>1889</v>
      </c>
      <c r="E133" s="1249">
        <v>0.502</v>
      </c>
      <c r="F133" s="1249"/>
      <c r="G133" s="1249"/>
      <c r="H133" s="1249"/>
      <c r="J133" s="1977"/>
      <c r="K133" s="319"/>
      <c r="L133" s="123"/>
      <c r="M133" s="126"/>
      <c r="N133" s="126"/>
      <c r="O133" s="126"/>
      <c r="P133" s="126"/>
      <c r="EP133" s="1994"/>
      <c r="EQ133" s="1968"/>
      <c r="ER133" s="123" t="s">
        <v>1920</v>
      </c>
      <c r="ES133" s="123" t="s">
        <v>1093</v>
      </c>
      <c r="ET133" s="489">
        <v>2.0076E-2</v>
      </c>
      <c r="EU133" s="489">
        <v>1.9800000000000002E-2</v>
      </c>
      <c r="EV133" s="489">
        <v>6.0000000000000002E-6</v>
      </c>
      <c r="EW133" s="489">
        <v>2.7E-4</v>
      </c>
      <c r="EX133" s="345"/>
      <c r="EY133" s="345"/>
      <c r="EZ133" s="345"/>
    </row>
    <row r="134" spans="1:156" x14ac:dyDescent="0.35">
      <c r="A134" s="1979"/>
      <c r="B134" s="158" t="s">
        <v>1921</v>
      </c>
      <c r="C134" s="159" t="s">
        <v>563</v>
      </c>
      <c r="D134" s="158" t="s">
        <v>1889</v>
      </c>
      <c r="E134" s="1249">
        <v>0.502</v>
      </c>
      <c r="F134" s="1249"/>
      <c r="G134" s="1249"/>
      <c r="H134" s="1249"/>
      <c r="J134" s="1977"/>
      <c r="K134" s="319"/>
      <c r="L134" s="123"/>
      <c r="M134" s="126"/>
      <c r="N134" s="126"/>
      <c r="O134" s="126"/>
      <c r="P134" s="126"/>
      <c r="EP134" s="1994"/>
      <c r="EQ134" s="1968"/>
      <c r="ER134" s="123" t="s">
        <v>1789</v>
      </c>
      <c r="ES134" s="123" t="s">
        <v>1093</v>
      </c>
      <c r="ET134" s="489">
        <v>1.3232000000000001E-2</v>
      </c>
      <c r="EU134" s="489">
        <v>1.3050000000000001E-2</v>
      </c>
      <c r="EV134" s="489">
        <v>3.9999999999999998E-6</v>
      </c>
      <c r="EW134" s="489">
        <v>1.7799999999999999E-4</v>
      </c>
      <c r="EX134" s="345"/>
      <c r="EY134" s="345"/>
      <c r="EZ134" s="345"/>
    </row>
    <row r="135" spans="1:156" x14ac:dyDescent="0.35">
      <c r="A135" s="1979"/>
      <c r="B135" s="158" t="s">
        <v>1922</v>
      </c>
      <c r="C135" s="159" t="s">
        <v>563</v>
      </c>
      <c r="D135" s="158" t="s">
        <v>1889</v>
      </c>
      <c r="E135" s="1249">
        <v>0.33600000000000002</v>
      </c>
      <c r="F135" s="1249"/>
      <c r="G135" s="1249"/>
      <c r="H135" s="1249"/>
      <c r="J135" s="1977"/>
      <c r="K135" s="319"/>
      <c r="L135" s="123"/>
      <c r="M135" s="126"/>
      <c r="N135" s="126"/>
      <c r="O135" s="126"/>
      <c r="P135" s="126"/>
      <c r="EP135" s="1994"/>
      <c r="EQ135" s="1968" t="s">
        <v>1923</v>
      </c>
      <c r="ER135" s="123" t="s">
        <v>1924</v>
      </c>
      <c r="ES135" s="123" t="s">
        <v>1093</v>
      </c>
      <c r="ET135" s="489">
        <v>1.2674000000000001E-2</v>
      </c>
      <c r="EU135" s="489">
        <v>1.2500000000000001E-2</v>
      </c>
      <c r="EV135" s="489">
        <v>3.9999999999999998E-6</v>
      </c>
      <c r="EW135" s="489">
        <v>1.7000000000000001E-4</v>
      </c>
      <c r="EX135" s="345"/>
      <c r="EY135" s="345"/>
      <c r="EZ135" s="345"/>
    </row>
    <row r="136" spans="1:156" x14ac:dyDescent="0.35">
      <c r="A136" s="1979"/>
      <c r="B136" s="158" t="s">
        <v>1925</v>
      </c>
      <c r="C136" s="159" t="s">
        <v>563</v>
      </c>
      <c r="D136" s="158" t="s">
        <v>1910</v>
      </c>
      <c r="E136" s="1249">
        <v>0.16700000000000001</v>
      </c>
      <c r="F136" s="1249"/>
      <c r="G136" s="1249"/>
      <c r="H136" s="1249"/>
      <c r="J136" s="1977"/>
      <c r="K136" s="319"/>
      <c r="L136" s="123"/>
      <c r="M136" s="126"/>
      <c r="N136" s="126"/>
      <c r="O136" s="126"/>
      <c r="P136" s="126"/>
      <c r="EP136" s="1994"/>
      <c r="EQ136" s="1968"/>
      <c r="ER136" s="123" t="s">
        <v>1926</v>
      </c>
      <c r="ES136" s="123" t="s">
        <v>1093</v>
      </c>
      <c r="ET136" s="489">
        <v>1.6831000000000002E-2</v>
      </c>
      <c r="EU136" s="489">
        <v>1.66E-2</v>
      </c>
      <c r="EV136" s="489">
        <v>5.0000000000000004E-6</v>
      </c>
      <c r="EW136" s="489">
        <v>2.2599999999999999E-4</v>
      </c>
      <c r="EX136" s="345"/>
      <c r="EY136" s="345"/>
      <c r="EZ136" s="345"/>
    </row>
    <row r="137" spans="1:156" x14ac:dyDescent="0.35">
      <c r="A137" s="1979"/>
      <c r="B137" s="158" t="s">
        <v>1927</v>
      </c>
      <c r="C137" s="159" t="s">
        <v>563</v>
      </c>
      <c r="D137" s="158" t="s">
        <v>1889</v>
      </c>
      <c r="E137" s="1249">
        <v>0.30399999999999999</v>
      </c>
      <c r="F137" s="1249"/>
      <c r="G137" s="1249"/>
      <c r="H137" s="1249"/>
      <c r="J137" s="1977"/>
      <c r="K137" s="319"/>
      <c r="L137" s="123"/>
      <c r="M137" s="126"/>
      <c r="N137" s="126"/>
      <c r="O137" s="126"/>
      <c r="P137" s="126"/>
      <c r="EP137" s="1994"/>
      <c r="EQ137" s="1968"/>
      <c r="ER137" s="123" t="s">
        <v>1928</v>
      </c>
      <c r="ES137" s="123" t="s">
        <v>1093</v>
      </c>
      <c r="ET137" s="489">
        <v>1.6831000000000002E-2</v>
      </c>
      <c r="EU137" s="489">
        <v>1.66E-2</v>
      </c>
      <c r="EV137" s="489">
        <v>5.0000000000000004E-6</v>
      </c>
      <c r="EW137" s="489">
        <v>2.2599999999999999E-4</v>
      </c>
      <c r="EX137" s="345"/>
      <c r="EY137" s="345"/>
      <c r="EZ137" s="345"/>
    </row>
    <row r="138" spans="1:156" x14ac:dyDescent="0.35">
      <c r="A138" s="1979"/>
      <c r="B138" s="158" t="s">
        <v>1929</v>
      </c>
      <c r="C138" s="159" t="s">
        <v>563</v>
      </c>
      <c r="D138" s="158" t="s">
        <v>1889</v>
      </c>
      <c r="E138" s="1249">
        <v>0.624</v>
      </c>
      <c r="F138" s="1249"/>
      <c r="G138" s="1249"/>
      <c r="H138" s="1249"/>
      <c r="J138" s="1977"/>
      <c r="K138" s="319"/>
      <c r="L138" s="123"/>
      <c r="M138" s="126"/>
      <c r="N138" s="126"/>
      <c r="O138" s="126"/>
      <c r="P138" s="126"/>
      <c r="EP138" s="1994"/>
      <c r="EQ138" s="1968"/>
      <c r="ER138" s="123" t="s">
        <v>1930</v>
      </c>
      <c r="ES138" s="123" t="s">
        <v>1093</v>
      </c>
      <c r="ET138" s="489">
        <v>2.0278999999999998E-2</v>
      </c>
      <c r="EU138" s="489">
        <v>0.02</v>
      </c>
      <c r="EV138" s="489">
        <v>6.0000000000000002E-6</v>
      </c>
      <c r="EW138" s="489">
        <v>2.7300000000000002E-4</v>
      </c>
      <c r="EX138" s="345"/>
      <c r="EY138" s="345"/>
      <c r="EZ138" s="345"/>
    </row>
    <row r="139" spans="1:156" x14ac:dyDescent="0.35">
      <c r="A139" s="1979"/>
      <c r="B139" s="158" t="s">
        <v>1931</v>
      </c>
      <c r="C139" s="159" t="s">
        <v>563</v>
      </c>
      <c r="D139" s="158" t="s">
        <v>1889</v>
      </c>
      <c r="E139" s="1249">
        <v>0.374</v>
      </c>
      <c r="F139" s="1249"/>
      <c r="G139" s="1249"/>
      <c r="H139" s="1249"/>
      <c r="J139" s="1977"/>
      <c r="K139" s="1983" t="s">
        <v>1932</v>
      </c>
      <c r="L139" s="123" t="s">
        <v>316</v>
      </c>
      <c r="M139" s="131">
        <v>3397.79</v>
      </c>
      <c r="N139" s="131">
        <v>3388.18</v>
      </c>
      <c r="O139" s="131">
        <v>3.1</v>
      </c>
      <c r="P139" s="131">
        <v>6.5</v>
      </c>
      <c r="EP139" s="1994"/>
      <c r="EQ139" s="1968"/>
      <c r="ER139" s="123" t="s">
        <v>1933</v>
      </c>
      <c r="ES139" s="123" t="s">
        <v>1093</v>
      </c>
      <c r="ET139" s="489">
        <v>3.2548000000000007E-2</v>
      </c>
      <c r="EU139" s="489">
        <v>3.2100000000000004E-2</v>
      </c>
      <c r="EV139" s="489">
        <v>1.0000000000000001E-5</v>
      </c>
      <c r="EW139" s="489">
        <v>4.3800000000000002E-4</v>
      </c>
      <c r="EX139" s="345"/>
      <c r="EY139" s="345"/>
      <c r="EZ139" s="345"/>
    </row>
    <row r="140" spans="1:156" x14ac:dyDescent="0.35">
      <c r="A140" s="1979"/>
      <c r="B140" s="158" t="s">
        <v>1934</v>
      </c>
      <c r="C140" s="159" t="s">
        <v>563</v>
      </c>
      <c r="D140" s="158" t="s">
        <v>1889</v>
      </c>
      <c r="E140" s="1249">
        <v>4.2999999999999997E-2</v>
      </c>
      <c r="F140" s="1249"/>
      <c r="G140" s="1249"/>
      <c r="H140" s="1249"/>
      <c r="J140" s="1977"/>
      <c r="K140" s="1984"/>
      <c r="L140" s="123" t="s">
        <v>1733</v>
      </c>
      <c r="M140" s="126">
        <v>0.36005999999999999</v>
      </c>
      <c r="N140" s="126">
        <v>0.35904000000000003</v>
      </c>
      <c r="O140" s="126">
        <v>3.3E-4</v>
      </c>
      <c r="P140" s="126">
        <v>6.8999999999999997E-4</v>
      </c>
      <c r="EP140" s="1994"/>
      <c r="EQ140" s="1968"/>
      <c r="ER140" s="123" t="s">
        <v>1935</v>
      </c>
      <c r="ES140" s="123" t="s">
        <v>1093</v>
      </c>
      <c r="ET140" s="489">
        <v>3.6805999999999998E-2</v>
      </c>
      <c r="EU140" s="489">
        <v>3.6299999999999999E-2</v>
      </c>
      <c r="EV140" s="489">
        <v>1.1E-5</v>
      </c>
      <c r="EW140" s="489">
        <v>4.95E-4</v>
      </c>
      <c r="EX140" s="345"/>
      <c r="EY140" s="345"/>
      <c r="EZ140" s="345"/>
    </row>
    <row r="141" spans="1:156" x14ac:dyDescent="0.35">
      <c r="A141" s="1979"/>
      <c r="B141" s="158" t="s">
        <v>1936</v>
      </c>
      <c r="C141" s="159" t="s">
        <v>563</v>
      </c>
      <c r="D141" s="158" t="s">
        <v>1889</v>
      </c>
      <c r="E141" s="1249">
        <v>0.40899999999999997</v>
      </c>
      <c r="F141" s="1249"/>
      <c r="G141" s="1249"/>
      <c r="H141" s="1249"/>
      <c r="J141" s="1977"/>
      <c r="K141" s="1985"/>
      <c r="L141" s="123" t="s">
        <v>1737</v>
      </c>
      <c r="M141" s="126">
        <v>0.34205999999999998</v>
      </c>
      <c r="N141" s="126">
        <v>0.34109</v>
      </c>
      <c r="O141" s="126">
        <v>3.1E-4</v>
      </c>
      <c r="P141" s="126">
        <v>6.4999999999999997E-4</v>
      </c>
      <c r="EP141" s="1994"/>
      <c r="EQ141" s="1968"/>
      <c r="ER141" s="123" t="s">
        <v>1789</v>
      </c>
      <c r="ES141" s="123" t="s">
        <v>1093</v>
      </c>
      <c r="ET141" s="489">
        <v>1.6142E-2</v>
      </c>
      <c r="EU141" s="489">
        <v>1.592E-2</v>
      </c>
      <c r="EV141" s="489">
        <v>5.0000000000000004E-6</v>
      </c>
      <c r="EW141" s="489">
        <v>2.1699999999999999E-4</v>
      </c>
      <c r="EX141" s="345"/>
      <c r="EY141" s="345"/>
      <c r="EZ141" s="345"/>
    </row>
    <row r="142" spans="1:156" x14ac:dyDescent="0.35">
      <c r="A142" s="1979"/>
      <c r="B142" s="158" t="s">
        <v>1937</v>
      </c>
      <c r="C142" s="159" t="s">
        <v>563</v>
      </c>
      <c r="D142" s="158" t="s">
        <v>1889</v>
      </c>
      <c r="E142" s="1249">
        <v>0.86399999999999999</v>
      </c>
      <c r="F142" s="1249"/>
      <c r="G142" s="1249"/>
      <c r="H142" s="1249"/>
      <c r="J142" s="1977"/>
      <c r="K142" s="1983" t="s">
        <v>1938</v>
      </c>
      <c r="L142" s="123" t="s">
        <v>316</v>
      </c>
      <c r="M142" s="131">
        <v>2219.4699999999998</v>
      </c>
      <c r="N142" s="131">
        <v>2206.3000000000002</v>
      </c>
      <c r="O142" s="131">
        <v>0.6</v>
      </c>
      <c r="P142" s="131">
        <v>12.57</v>
      </c>
      <c r="EP142" s="1994"/>
      <c r="EQ142" s="1968" t="s">
        <v>1939</v>
      </c>
      <c r="ER142" s="123" t="s">
        <v>1940</v>
      </c>
      <c r="ES142" s="123" t="s">
        <v>1093</v>
      </c>
      <c r="ET142" s="489">
        <v>3.2446000000000003E-2</v>
      </c>
      <c r="EU142" s="489">
        <v>3.2000000000000001E-2</v>
      </c>
      <c r="EV142" s="489">
        <v>1.0000000000000001E-5</v>
      </c>
      <c r="EW142" s="489">
        <v>4.3600000000000003E-4</v>
      </c>
      <c r="EX142" s="345"/>
      <c r="EY142" s="345"/>
      <c r="EZ142" s="345"/>
    </row>
    <row r="143" spans="1:156" x14ac:dyDescent="0.35">
      <c r="A143" s="1979"/>
      <c r="B143" s="158" t="s">
        <v>1941</v>
      </c>
      <c r="C143" s="159" t="s">
        <v>563</v>
      </c>
      <c r="D143" s="158" t="s">
        <v>1889</v>
      </c>
      <c r="E143" s="1249">
        <v>1.179</v>
      </c>
      <c r="F143" s="1249"/>
      <c r="G143" s="1249"/>
      <c r="H143" s="1249"/>
      <c r="J143" s="1977"/>
      <c r="K143" s="1984"/>
      <c r="L143" s="123" t="s">
        <v>1733</v>
      </c>
      <c r="M143" s="126">
        <v>0.33333000000000002</v>
      </c>
      <c r="N143" s="126">
        <v>0.33134999999999998</v>
      </c>
      <c r="O143" s="126">
        <v>9.0000000000000006E-5</v>
      </c>
      <c r="P143" s="126">
        <v>1.89E-3</v>
      </c>
      <c r="EP143" s="1994"/>
      <c r="EQ143" s="1968"/>
      <c r="ER143" s="123" t="s">
        <v>1942</v>
      </c>
      <c r="ES143" s="123" t="s">
        <v>1093</v>
      </c>
      <c r="ET143" s="489">
        <v>5.8402000000000003E-2</v>
      </c>
      <c r="EU143" s="489">
        <v>5.7599999999999998E-2</v>
      </c>
      <c r="EV143" s="489">
        <v>1.7E-5</v>
      </c>
      <c r="EW143" s="489">
        <v>7.85E-4</v>
      </c>
      <c r="EX143" s="345"/>
      <c r="EY143" s="345"/>
      <c r="EZ143" s="345"/>
    </row>
    <row r="144" spans="1:156" x14ac:dyDescent="0.35">
      <c r="A144" s="1979"/>
      <c r="B144" s="158" t="s">
        <v>1943</v>
      </c>
      <c r="C144" s="159" t="s">
        <v>563</v>
      </c>
      <c r="D144" s="158" t="s">
        <v>1889</v>
      </c>
      <c r="E144" s="1249">
        <v>0.20100000000000001</v>
      </c>
      <c r="F144" s="1249"/>
      <c r="G144" s="1249"/>
      <c r="H144" s="1249"/>
      <c r="J144" s="1978"/>
      <c r="K144" s="1985"/>
      <c r="L144" s="123" t="s">
        <v>1737</v>
      </c>
      <c r="M144" s="126">
        <v>0.31666</v>
      </c>
      <c r="N144" s="126">
        <v>0.31478</v>
      </c>
      <c r="O144" s="126">
        <v>9.0000000000000006E-5</v>
      </c>
      <c r="P144" s="126">
        <v>1.7899999999999999E-3</v>
      </c>
      <c r="EP144" s="1994"/>
      <c r="EQ144" s="1968"/>
      <c r="ER144" s="123" t="s">
        <v>1789</v>
      </c>
      <c r="ES144" s="123" t="s">
        <v>1093</v>
      </c>
      <c r="ET144" s="489">
        <v>3.8580999999999997E-2</v>
      </c>
      <c r="EU144" s="489">
        <v>3.805E-2</v>
      </c>
      <c r="EV144" s="489">
        <v>1.2E-5</v>
      </c>
      <c r="EW144" s="489">
        <v>5.1900000000000004E-4</v>
      </c>
      <c r="EX144" s="345"/>
      <c r="EY144" s="345"/>
      <c r="EZ144" s="345"/>
    </row>
    <row r="145" spans="1:156" x14ac:dyDescent="0.35">
      <c r="A145" s="1979"/>
      <c r="B145" s="158" t="s">
        <v>1944</v>
      </c>
      <c r="C145" s="159" t="s">
        <v>563</v>
      </c>
      <c r="D145" s="158" t="s">
        <v>1889</v>
      </c>
      <c r="E145" s="1249">
        <v>0.45600000000000002</v>
      </c>
      <c r="F145" s="1249"/>
      <c r="G145" s="1249"/>
      <c r="H145" s="1249"/>
      <c r="EP145" s="1994"/>
      <c r="EQ145" s="1968" t="s">
        <v>1105</v>
      </c>
      <c r="ER145" s="123" t="s">
        <v>1945</v>
      </c>
      <c r="ES145" s="123" t="s">
        <v>1093</v>
      </c>
      <c r="ET145" s="489">
        <v>5.0190000000000005E-2</v>
      </c>
      <c r="EU145" s="489">
        <v>4.9500000000000002E-2</v>
      </c>
      <c r="EV145" s="489">
        <v>1.5E-5</v>
      </c>
      <c r="EW145" s="489">
        <v>6.7500000000000004E-4</v>
      </c>
      <c r="EX145" s="345"/>
      <c r="EY145" s="345"/>
      <c r="EZ145" s="345"/>
    </row>
    <row r="146" spans="1:156" ht="16.5" x14ac:dyDescent="0.45">
      <c r="A146" s="1979"/>
      <c r="B146" s="158" t="s">
        <v>1946</v>
      </c>
      <c r="C146" s="159" t="s">
        <v>563</v>
      </c>
      <c r="D146" s="158" t="s">
        <v>1889</v>
      </c>
      <c r="E146" s="1249">
        <v>0.379</v>
      </c>
      <c r="F146" s="1249"/>
      <c r="G146" s="1249"/>
      <c r="H146" s="1249"/>
      <c r="J146" s="122" t="s">
        <v>1688</v>
      </c>
      <c r="K146" s="122" t="s">
        <v>1702</v>
      </c>
      <c r="L146" s="122" t="s">
        <v>1689</v>
      </c>
      <c r="M146" s="123" t="s">
        <v>1690</v>
      </c>
      <c r="N146" s="123" t="s">
        <v>1691</v>
      </c>
      <c r="O146" s="123" t="s">
        <v>1692</v>
      </c>
      <c r="P146" s="123" t="s">
        <v>1693</v>
      </c>
      <c r="EP146" s="1994"/>
      <c r="EQ146" s="1968"/>
      <c r="ER146" s="123" t="s">
        <v>1947</v>
      </c>
      <c r="ES146" s="123" t="s">
        <v>1093</v>
      </c>
      <c r="ET146" s="489">
        <v>6.114E-2</v>
      </c>
      <c r="EU146" s="489">
        <v>6.0299999999999999E-2</v>
      </c>
      <c r="EV146" s="489">
        <v>1.8E-5</v>
      </c>
      <c r="EW146" s="489">
        <v>8.2200000000000003E-4</v>
      </c>
      <c r="EX146" s="345"/>
      <c r="EY146" s="345"/>
      <c r="EZ146" s="345"/>
    </row>
    <row r="147" spans="1:156" x14ac:dyDescent="0.35">
      <c r="A147" s="1979"/>
      <c r="B147" s="158" t="s">
        <v>1948</v>
      </c>
      <c r="C147" s="159" t="s">
        <v>563</v>
      </c>
      <c r="D147" s="158" t="s">
        <v>1910</v>
      </c>
      <c r="E147" s="1249">
        <v>0.42099999999999999</v>
      </c>
      <c r="F147" s="1249"/>
      <c r="G147" s="1249"/>
      <c r="H147" s="1249"/>
      <c r="J147" s="1963" t="s">
        <v>1949</v>
      </c>
      <c r="K147" s="123" t="s">
        <v>1950</v>
      </c>
      <c r="L147" s="123" t="s">
        <v>1785</v>
      </c>
      <c r="M147" s="1257">
        <v>0.17261000000000001</v>
      </c>
      <c r="N147" s="1257">
        <v>0.17102000000000001</v>
      </c>
      <c r="O147" s="1257">
        <v>1.0300000000000001E-3</v>
      </c>
      <c r="P147" s="1257">
        <v>5.5000000000000003E-4</v>
      </c>
      <c r="EP147" s="1994"/>
      <c r="EQ147" s="1968"/>
      <c r="ER147" s="123" t="s">
        <v>1789</v>
      </c>
      <c r="ES147" s="123" t="s">
        <v>1093</v>
      </c>
      <c r="ET147" s="489">
        <v>5.1659000000000004E-2</v>
      </c>
      <c r="EU147" s="489">
        <v>5.0950000000000002E-2</v>
      </c>
      <c r="EV147" s="489">
        <v>1.5E-5</v>
      </c>
      <c r="EW147" s="489">
        <v>6.9399999999999996E-4</v>
      </c>
      <c r="EX147" s="345"/>
      <c r="EY147" s="345"/>
      <c r="EZ147" s="345"/>
    </row>
    <row r="148" spans="1:156" x14ac:dyDescent="0.35">
      <c r="A148" s="1979"/>
      <c r="B148" s="158" t="s">
        <v>1951</v>
      </c>
      <c r="C148" s="159" t="s">
        <v>563</v>
      </c>
      <c r="D148" s="158" t="s">
        <v>1889</v>
      </c>
      <c r="E148" s="1249">
        <v>0.63600000000000001</v>
      </c>
      <c r="F148" s="1249"/>
      <c r="G148" s="1249"/>
      <c r="H148" s="1249"/>
      <c r="J148" s="1963"/>
      <c r="K148" s="123" t="s">
        <v>1952</v>
      </c>
      <c r="L148" s="123" t="s">
        <v>1785</v>
      </c>
      <c r="M148" s="1257">
        <v>0.17261000000000001</v>
      </c>
      <c r="N148" s="1257">
        <v>0.17102000000000001</v>
      </c>
      <c r="O148" s="1257">
        <v>1.0300000000000001E-3</v>
      </c>
      <c r="P148" s="1257">
        <v>5.5000000000000003E-4</v>
      </c>
      <c r="EP148" s="1994"/>
      <c r="EQ148" s="488" t="s">
        <v>1106</v>
      </c>
      <c r="ER148" s="123" t="s">
        <v>1789</v>
      </c>
      <c r="ES148" s="123" t="s">
        <v>1093</v>
      </c>
      <c r="ET148" s="489">
        <v>0.37667499999999998</v>
      </c>
      <c r="EU148" s="489">
        <v>0.3715</v>
      </c>
      <c r="EV148" s="489">
        <v>1.12E-4</v>
      </c>
      <c r="EW148" s="489">
        <v>5.0629999999999998E-3</v>
      </c>
      <c r="EX148" s="345"/>
      <c r="EY148" s="345"/>
      <c r="EZ148" s="345"/>
    </row>
    <row r="149" spans="1:156" x14ac:dyDescent="0.35">
      <c r="A149" s="1979"/>
      <c r="B149" s="158" t="s">
        <v>1953</v>
      </c>
      <c r="C149" s="159" t="s">
        <v>563</v>
      </c>
      <c r="D149" s="523" t="s">
        <v>1889</v>
      </c>
      <c r="E149" s="1249">
        <v>0.316</v>
      </c>
      <c r="F149" s="1249"/>
      <c r="G149" s="1249"/>
      <c r="H149" s="1249"/>
      <c r="EP149" s="1994"/>
      <c r="EQ149" s="488" t="s">
        <v>1954</v>
      </c>
      <c r="ER149" s="123" t="s">
        <v>1955</v>
      </c>
      <c r="ES149" s="123" t="s">
        <v>1093</v>
      </c>
      <c r="ET149" s="489">
        <v>1.3080000000000001E-2</v>
      </c>
      <c r="EU149" s="489">
        <v>1.29E-2</v>
      </c>
      <c r="EV149" s="489">
        <v>3.9999999999999998E-6</v>
      </c>
      <c r="EW149" s="489">
        <v>1.76E-4</v>
      </c>
      <c r="EX149" s="345"/>
      <c r="EY149" s="345"/>
      <c r="EZ149" s="345"/>
    </row>
    <row r="150" spans="1:156" x14ac:dyDescent="0.35">
      <c r="A150" s="1979"/>
      <c r="B150" s="158" t="s">
        <v>1956</v>
      </c>
      <c r="C150" s="158" t="s">
        <v>563</v>
      </c>
      <c r="D150" s="158" t="s">
        <v>1889</v>
      </c>
      <c r="E150" s="1249">
        <v>0.57999999999999996</v>
      </c>
      <c r="F150" s="1249"/>
      <c r="G150" s="1249"/>
      <c r="H150" s="1249"/>
    </row>
    <row r="151" spans="1:156" x14ac:dyDescent="0.35">
      <c r="A151" s="1979"/>
      <c r="B151" s="158" t="s">
        <v>1957</v>
      </c>
      <c r="C151" s="158" t="s">
        <v>563</v>
      </c>
      <c r="D151" s="158" t="s">
        <v>1889</v>
      </c>
      <c r="E151" s="1249">
        <v>0.27500000000000002</v>
      </c>
      <c r="F151" s="1249"/>
      <c r="G151" s="1249"/>
      <c r="H151" s="1249"/>
    </row>
    <row r="152" spans="1:156" x14ac:dyDescent="0.35">
      <c r="A152" s="1979"/>
      <c r="B152" s="158" t="s">
        <v>1958</v>
      </c>
      <c r="C152" s="158" t="s">
        <v>563</v>
      </c>
      <c r="D152" s="158" t="s">
        <v>1889</v>
      </c>
      <c r="E152" s="1249">
        <v>0.23100000000000001</v>
      </c>
      <c r="F152" s="1249"/>
      <c r="G152" s="1249"/>
      <c r="H152" s="1249"/>
    </row>
    <row r="153" spans="1:156" x14ac:dyDescent="0.35">
      <c r="A153" s="1979"/>
      <c r="B153" s="158" t="s">
        <v>1959</v>
      </c>
      <c r="C153" s="158" t="s">
        <v>563</v>
      </c>
      <c r="D153" s="158" t="s">
        <v>1889</v>
      </c>
      <c r="E153" s="1249">
        <v>0.47399999999999998</v>
      </c>
      <c r="F153" s="1249"/>
      <c r="G153" s="1249"/>
      <c r="H153" s="1249"/>
    </row>
    <row r="154" spans="1:156" x14ac:dyDescent="0.35">
      <c r="A154" s="1979"/>
      <c r="B154" s="158" t="s">
        <v>1960</v>
      </c>
      <c r="C154" s="158" t="s">
        <v>563</v>
      </c>
      <c r="D154" s="158" t="s">
        <v>1889</v>
      </c>
      <c r="E154" s="1249">
        <v>0.54400000000000004</v>
      </c>
      <c r="F154" s="1249"/>
      <c r="G154" s="1249"/>
      <c r="H154" s="1249"/>
    </row>
    <row r="155" spans="1:156" x14ac:dyDescent="0.35">
      <c r="A155" s="1979"/>
      <c r="B155" s="158" t="s">
        <v>1961</v>
      </c>
      <c r="C155" s="158" t="s">
        <v>563</v>
      </c>
      <c r="D155" s="158" t="s">
        <v>1889</v>
      </c>
      <c r="E155" s="1249">
        <v>0.40100000000000002</v>
      </c>
      <c r="F155" s="1249"/>
      <c r="G155" s="1249"/>
      <c r="H155" s="1249"/>
    </row>
    <row r="156" spans="1:156" x14ac:dyDescent="0.35">
      <c r="A156" s="1979"/>
      <c r="B156" s="158" t="s">
        <v>1962</v>
      </c>
      <c r="C156" s="158" t="s">
        <v>563</v>
      </c>
      <c r="D156" s="158" t="s">
        <v>1889</v>
      </c>
      <c r="E156" s="1249">
        <v>0.224</v>
      </c>
      <c r="F156" s="1249"/>
      <c r="G156" s="1249"/>
      <c r="H156" s="1249"/>
    </row>
    <row r="157" spans="1:156" x14ac:dyDescent="0.35">
      <c r="A157" s="1979"/>
      <c r="B157" s="158" t="s">
        <v>1963</v>
      </c>
      <c r="C157" s="158" t="s">
        <v>563</v>
      </c>
      <c r="D157" s="158" t="s">
        <v>1889</v>
      </c>
      <c r="E157" s="1249">
        <v>0.65500000000000003</v>
      </c>
      <c r="F157" s="1249"/>
      <c r="G157" s="1249"/>
      <c r="H157" s="1249"/>
    </row>
    <row r="158" spans="1:156" x14ac:dyDescent="0.35">
      <c r="A158" s="1979"/>
      <c r="B158" s="158" t="s">
        <v>1964</v>
      </c>
      <c r="C158" s="158" t="s">
        <v>563</v>
      </c>
      <c r="D158" s="158" t="s">
        <v>1889</v>
      </c>
      <c r="E158" s="1249">
        <v>0.42199999999999999</v>
      </c>
      <c r="F158" s="1249"/>
      <c r="G158" s="1249"/>
      <c r="H158" s="1249"/>
    </row>
    <row r="159" spans="1:156" x14ac:dyDescent="0.35">
      <c r="A159" s="1979"/>
      <c r="B159" s="158" t="s">
        <v>1965</v>
      </c>
      <c r="C159" s="158" t="s">
        <v>563</v>
      </c>
      <c r="D159" s="158" t="s">
        <v>1889</v>
      </c>
      <c r="E159" s="1249">
        <v>0.33900000000000002</v>
      </c>
      <c r="F159" s="1249"/>
      <c r="G159" s="1249"/>
      <c r="H159" s="1249"/>
    </row>
    <row r="160" spans="1:156" x14ac:dyDescent="0.35">
      <c r="A160" s="1979"/>
      <c r="B160" s="158" t="s">
        <v>1966</v>
      </c>
      <c r="C160" s="158" t="s">
        <v>563</v>
      </c>
      <c r="D160" s="158" t="s">
        <v>1889</v>
      </c>
      <c r="E160" s="1249">
        <v>0.49399999999999999</v>
      </c>
      <c r="F160" s="1249"/>
      <c r="G160" s="1249"/>
      <c r="H160" s="1249"/>
    </row>
    <row r="161" spans="1:8" x14ac:dyDescent="0.35">
      <c r="A161" s="1979"/>
      <c r="B161" s="158" t="s">
        <v>1967</v>
      </c>
      <c r="C161" s="158" t="s">
        <v>563</v>
      </c>
      <c r="D161" s="158" t="s">
        <v>1889</v>
      </c>
      <c r="E161" s="1249">
        <v>0.23100000000000001</v>
      </c>
      <c r="F161" s="1249"/>
      <c r="G161" s="1249"/>
      <c r="H161" s="1249"/>
    </row>
    <row r="162" spans="1:8" x14ac:dyDescent="0.35">
      <c r="A162" s="1979"/>
      <c r="B162" s="158" t="s">
        <v>1968</v>
      </c>
      <c r="C162" s="158" t="s">
        <v>563</v>
      </c>
      <c r="D162" s="158" t="s">
        <v>1889</v>
      </c>
      <c r="E162" s="1249">
        <v>0.64700000000000002</v>
      </c>
      <c r="F162" s="1249"/>
      <c r="G162" s="1249"/>
      <c r="H162" s="1249"/>
    </row>
    <row r="163" spans="1:8" x14ac:dyDescent="0.35">
      <c r="A163" s="1979"/>
      <c r="B163" s="158" t="s">
        <v>1969</v>
      </c>
      <c r="C163" s="158" t="s">
        <v>563</v>
      </c>
      <c r="D163" s="158" t="s">
        <v>1889</v>
      </c>
      <c r="E163" s="1249">
        <v>4.2999999999999997E-2</v>
      </c>
      <c r="F163" s="1249"/>
      <c r="G163" s="1249"/>
      <c r="H163" s="1249"/>
    </row>
    <row r="164" spans="1:8" x14ac:dyDescent="0.35">
      <c r="A164" s="1979"/>
      <c r="B164" s="158" t="s">
        <v>1970</v>
      </c>
      <c r="C164" s="158" t="s">
        <v>563</v>
      </c>
      <c r="D164" s="158" t="s">
        <v>1889</v>
      </c>
      <c r="E164" s="1249">
        <v>0.34200000000000003</v>
      </c>
      <c r="F164" s="1249"/>
      <c r="G164" s="1249"/>
      <c r="H164" s="1249"/>
    </row>
    <row r="165" spans="1:8" x14ac:dyDescent="0.35">
      <c r="A165" s="1979"/>
      <c r="B165" s="158" t="s">
        <v>1971</v>
      </c>
      <c r="C165" s="158" t="s">
        <v>563</v>
      </c>
      <c r="D165" s="158" t="s">
        <v>1889</v>
      </c>
      <c r="E165" s="1249">
        <v>0.32600000000000001</v>
      </c>
      <c r="F165" s="1249"/>
      <c r="G165" s="1249"/>
      <c r="H165" s="1249"/>
    </row>
    <row r="166" spans="1:8" x14ac:dyDescent="0.35">
      <c r="A166" s="1979"/>
      <c r="B166" s="158" t="s">
        <v>1972</v>
      </c>
      <c r="C166" s="158" t="s">
        <v>563</v>
      </c>
      <c r="D166" s="158" t="s">
        <v>1889</v>
      </c>
      <c r="E166" s="1249">
        <v>0.14499999999999999</v>
      </c>
      <c r="F166" s="1249"/>
      <c r="G166" s="1249"/>
      <c r="H166" s="1249"/>
    </row>
    <row r="167" spans="1:8" x14ac:dyDescent="0.35">
      <c r="A167" s="1979"/>
      <c r="B167" s="158" t="s">
        <v>1973</v>
      </c>
      <c r="C167" s="158" t="s">
        <v>563</v>
      </c>
      <c r="D167" s="158" t="s">
        <v>1889</v>
      </c>
      <c r="E167" s="1249">
        <v>0.436</v>
      </c>
      <c r="F167" s="1249"/>
      <c r="G167" s="1249"/>
      <c r="H167" s="1249"/>
    </row>
    <row r="168" spans="1:8" x14ac:dyDescent="0.35">
      <c r="A168" s="1979"/>
      <c r="B168" s="158" t="s">
        <v>1974</v>
      </c>
      <c r="C168" s="158" t="s">
        <v>563</v>
      </c>
      <c r="D168" s="158" t="s">
        <v>1910</v>
      </c>
      <c r="E168" s="1249">
        <v>0.14499999999999999</v>
      </c>
      <c r="F168" s="1249"/>
      <c r="G168" s="1249"/>
      <c r="H168" s="1249"/>
    </row>
    <row r="169" spans="1:8" x14ac:dyDescent="0.35">
      <c r="A169" s="1979"/>
      <c r="B169" s="158" t="s">
        <v>1975</v>
      </c>
      <c r="C169" s="158" t="s">
        <v>563</v>
      </c>
      <c r="D169" s="158" t="s">
        <v>1889</v>
      </c>
      <c r="E169" s="1249">
        <v>0.59799999999999998</v>
      </c>
      <c r="F169" s="1249"/>
      <c r="G169" s="1249"/>
      <c r="H169" s="1249"/>
    </row>
    <row r="170" spans="1:8" x14ac:dyDescent="0.35">
      <c r="A170" s="1979"/>
      <c r="B170" s="158" t="s">
        <v>1976</v>
      </c>
      <c r="C170" s="158" t="s">
        <v>563</v>
      </c>
      <c r="D170" s="158" t="s">
        <v>1889</v>
      </c>
      <c r="E170" s="1249">
        <v>0.46600000000000003</v>
      </c>
      <c r="F170" s="1249"/>
      <c r="G170" s="1249"/>
      <c r="H170" s="1249"/>
    </row>
    <row r="171" spans="1:8" x14ac:dyDescent="0.35">
      <c r="A171" s="1979"/>
      <c r="B171" s="158" t="s">
        <v>1977</v>
      </c>
      <c r="C171" s="158" t="s">
        <v>563</v>
      </c>
      <c r="D171" s="158" t="s">
        <v>1910</v>
      </c>
      <c r="E171" s="1249">
        <v>0.65100000000000002</v>
      </c>
      <c r="F171" s="1249"/>
      <c r="G171" s="1249"/>
      <c r="H171" s="1249"/>
    </row>
    <row r="172" spans="1:8" x14ac:dyDescent="0.35">
      <c r="A172" s="1979"/>
      <c r="B172" s="158" t="s">
        <v>1978</v>
      </c>
      <c r="C172" s="158" t="s">
        <v>563</v>
      </c>
      <c r="D172" s="158" t="s">
        <v>1910</v>
      </c>
      <c r="E172" s="1249">
        <v>0.43099999999999999</v>
      </c>
      <c r="F172" s="1249"/>
      <c r="G172" s="1249"/>
      <c r="H172" s="1249"/>
    </row>
    <row r="173" spans="1:8" x14ac:dyDescent="0.35">
      <c r="A173" s="1979"/>
      <c r="B173" s="158" t="s">
        <v>1979</v>
      </c>
      <c r="C173" s="158" t="s">
        <v>563</v>
      </c>
      <c r="D173" s="158" t="s">
        <v>1910</v>
      </c>
      <c r="E173" s="1249">
        <v>0.126</v>
      </c>
      <c r="F173" s="1249"/>
      <c r="G173" s="1249"/>
      <c r="H173" s="1249"/>
    </row>
    <row r="174" spans="1:8" x14ac:dyDescent="0.35">
      <c r="A174" s="1979"/>
      <c r="B174" s="158" t="s">
        <v>1980</v>
      </c>
      <c r="C174" s="158" t="s">
        <v>563</v>
      </c>
      <c r="D174" s="158" t="s">
        <v>1889</v>
      </c>
      <c r="E174" s="1249">
        <v>0.63900000000000001</v>
      </c>
      <c r="F174" s="1249"/>
      <c r="G174" s="1249"/>
      <c r="H174" s="1249"/>
    </row>
    <row r="175" spans="1:8" x14ac:dyDescent="0.35">
      <c r="A175" s="1979"/>
      <c r="B175" s="158" t="s">
        <v>1981</v>
      </c>
      <c r="C175" s="158" t="s">
        <v>563</v>
      </c>
      <c r="D175" s="158" t="s">
        <v>1889</v>
      </c>
      <c r="E175" s="1249">
        <v>0.55100000000000005</v>
      </c>
      <c r="F175" s="1249"/>
      <c r="G175" s="1249"/>
      <c r="H175" s="1249"/>
    </row>
    <row r="176" spans="1:8" x14ac:dyDescent="0.35">
      <c r="A176" s="1979"/>
      <c r="B176" s="158" t="s">
        <v>1982</v>
      </c>
      <c r="C176" s="158" t="s">
        <v>563</v>
      </c>
      <c r="D176" s="158" t="s">
        <v>1889</v>
      </c>
      <c r="E176" s="1249">
        <v>0.46</v>
      </c>
      <c r="F176" s="1249"/>
      <c r="G176" s="1249"/>
      <c r="H176" s="1249"/>
    </row>
    <row r="177" spans="1:8" x14ac:dyDescent="0.35">
      <c r="A177" s="1979"/>
      <c r="B177" s="158" t="s">
        <v>1983</v>
      </c>
      <c r="C177" s="158" t="s">
        <v>563</v>
      </c>
      <c r="D177" s="158" t="s">
        <v>1889</v>
      </c>
      <c r="E177" s="1249">
        <v>0.40400000000000003</v>
      </c>
      <c r="F177" s="1249"/>
      <c r="G177" s="1249"/>
      <c r="H177" s="1249"/>
    </row>
    <row r="178" spans="1:8" x14ac:dyDescent="0.35">
      <c r="A178" s="1979"/>
      <c r="B178" s="158" t="s">
        <v>1984</v>
      </c>
      <c r="C178" s="158" t="s">
        <v>563</v>
      </c>
      <c r="D178" s="158" t="s">
        <v>1889</v>
      </c>
      <c r="E178" s="1249">
        <v>0.41099999999999998</v>
      </c>
      <c r="F178" s="1249"/>
      <c r="G178" s="1249"/>
      <c r="H178" s="1249"/>
    </row>
    <row r="179" spans="1:8" x14ac:dyDescent="0.35">
      <c r="A179" s="1979"/>
      <c r="B179" s="158" t="s">
        <v>1985</v>
      </c>
      <c r="C179" s="158" t="s">
        <v>563</v>
      </c>
      <c r="D179" s="158" t="s">
        <v>1889</v>
      </c>
      <c r="E179" s="1249">
        <v>0.34399999999999997</v>
      </c>
      <c r="F179" s="1249"/>
      <c r="G179" s="1249"/>
      <c r="H179" s="1249"/>
    </row>
    <row r="180" spans="1:8" x14ac:dyDescent="0.35">
      <c r="A180" s="1979"/>
      <c r="B180" s="158" t="s">
        <v>1986</v>
      </c>
      <c r="C180" s="158" t="s">
        <v>563</v>
      </c>
      <c r="D180" s="158" t="s">
        <v>1889</v>
      </c>
      <c r="E180" s="1249">
        <v>0.53100000000000003</v>
      </c>
      <c r="F180" s="1249"/>
      <c r="G180" s="1249"/>
      <c r="H180" s="1249"/>
    </row>
    <row r="181" spans="1:8" x14ac:dyDescent="0.35">
      <c r="A181" s="1979"/>
      <c r="B181" s="158" t="s">
        <v>1987</v>
      </c>
      <c r="C181" s="158" t="s">
        <v>563</v>
      </c>
      <c r="D181" s="158" t="s">
        <v>1889</v>
      </c>
      <c r="E181" s="1249">
        <v>0.73899999999999999</v>
      </c>
      <c r="F181" s="1249"/>
      <c r="G181" s="1249"/>
      <c r="H181" s="1249"/>
    </row>
    <row r="182" spans="1:8" x14ac:dyDescent="0.35">
      <c r="A182" s="1979"/>
      <c r="B182" s="158" t="s">
        <v>1988</v>
      </c>
      <c r="C182" s="158" t="s">
        <v>563</v>
      </c>
      <c r="D182" s="158" t="s">
        <v>1910</v>
      </c>
      <c r="E182" s="1249">
        <v>0.89100000000000001</v>
      </c>
      <c r="F182" s="1249"/>
      <c r="G182" s="1249"/>
      <c r="H182" s="1249"/>
    </row>
    <row r="183" spans="1:8" x14ac:dyDescent="0.35">
      <c r="A183" s="1979"/>
      <c r="B183" s="158" t="s">
        <v>1989</v>
      </c>
      <c r="C183" s="158" t="s">
        <v>563</v>
      </c>
      <c r="D183" s="158" t="s">
        <v>1889</v>
      </c>
      <c r="E183" s="1249">
        <v>4.2999999999999997E-2</v>
      </c>
      <c r="F183" s="1249"/>
      <c r="G183" s="1249"/>
      <c r="H183" s="1249"/>
    </row>
    <row r="184" spans="1:8" x14ac:dyDescent="0.35">
      <c r="A184" s="1979"/>
      <c r="B184" s="158" t="s">
        <v>1990</v>
      </c>
      <c r="C184" s="158" t="s">
        <v>563</v>
      </c>
      <c r="D184" s="158" t="s">
        <v>1889</v>
      </c>
      <c r="E184" s="1249">
        <v>4.3999999999999997E-2</v>
      </c>
      <c r="F184" s="1249"/>
      <c r="G184" s="1249"/>
      <c r="H184" s="1249"/>
    </row>
    <row r="185" spans="1:8" x14ac:dyDescent="0.35">
      <c r="A185" s="1979"/>
      <c r="B185" s="158" t="s">
        <v>1991</v>
      </c>
      <c r="C185" s="158" t="s">
        <v>563</v>
      </c>
      <c r="D185" s="158" t="s">
        <v>1889</v>
      </c>
      <c r="E185" s="1249">
        <v>0.39900000000000002</v>
      </c>
      <c r="F185" s="1249"/>
      <c r="G185" s="1249"/>
      <c r="H185" s="1249"/>
    </row>
    <row r="186" spans="1:8" x14ac:dyDescent="0.35">
      <c r="A186" s="1979"/>
      <c r="B186" s="158" t="s">
        <v>1992</v>
      </c>
      <c r="C186" s="158" t="s">
        <v>563</v>
      </c>
      <c r="D186" s="158" t="s">
        <v>1889</v>
      </c>
      <c r="E186" s="1249">
        <v>0.36199999999999999</v>
      </c>
      <c r="F186" s="1249"/>
      <c r="G186" s="1249"/>
      <c r="H186" s="1249"/>
    </row>
    <row r="187" spans="1:8" x14ac:dyDescent="0.35">
      <c r="A187" s="1979"/>
      <c r="B187" s="158" t="s">
        <v>1993</v>
      </c>
      <c r="C187" s="158" t="s">
        <v>563</v>
      </c>
      <c r="D187" s="158" t="s">
        <v>1889</v>
      </c>
      <c r="E187" s="1249">
        <v>0.42799999999999999</v>
      </c>
      <c r="F187" s="1249"/>
      <c r="G187" s="1249"/>
      <c r="H187" s="1249"/>
    </row>
    <row r="188" spans="1:8" x14ac:dyDescent="0.35">
      <c r="A188" s="1979"/>
      <c r="B188" s="158" t="s">
        <v>1994</v>
      </c>
      <c r="C188" s="158" t="s">
        <v>563</v>
      </c>
      <c r="D188" s="158" t="s">
        <v>1910</v>
      </c>
      <c r="E188" s="1249">
        <v>8.5999999999999993E-2</v>
      </c>
      <c r="F188" s="1249"/>
      <c r="G188" s="1249"/>
      <c r="H188" s="1249"/>
    </row>
    <row r="189" spans="1:8" x14ac:dyDescent="0.35">
      <c r="A189" s="1979"/>
      <c r="B189" s="158" t="s">
        <v>1995</v>
      </c>
      <c r="C189" s="158" t="s">
        <v>563</v>
      </c>
      <c r="D189" s="158" t="s">
        <v>1910</v>
      </c>
      <c r="E189" s="1249">
        <v>5.1999999999999998E-2</v>
      </c>
      <c r="F189" s="1249"/>
      <c r="G189" s="1249"/>
      <c r="H189" s="1249"/>
    </row>
    <row r="190" spans="1:8" x14ac:dyDescent="0.35">
      <c r="A190" s="1979"/>
      <c r="B190" s="158" t="s">
        <v>1996</v>
      </c>
      <c r="C190" s="158" t="s">
        <v>563</v>
      </c>
      <c r="D190" s="158" t="s">
        <v>1889</v>
      </c>
      <c r="E190" s="1249">
        <v>0.33500000000000002</v>
      </c>
      <c r="F190" s="1249"/>
      <c r="G190" s="1249"/>
      <c r="H190" s="1249"/>
    </row>
    <row r="191" spans="1:8" x14ac:dyDescent="0.35">
      <c r="A191" s="1979"/>
      <c r="B191" s="158" t="s">
        <v>1997</v>
      </c>
      <c r="C191" s="158" t="s">
        <v>563</v>
      </c>
      <c r="D191" s="158" t="s">
        <v>1889</v>
      </c>
      <c r="E191" s="1249">
        <v>0.443</v>
      </c>
      <c r="F191" s="1249"/>
      <c r="G191" s="1249"/>
      <c r="H191" s="1249"/>
    </row>
    <row r="192" spans="1:8" x14ac:dyDescent="0.35">
      <c r="A192" s="1979"/>
      <c r="B192" s="158" t="s">
        <v>1998</v>
      </c>
      <c r="C192" s="158" t="s">
        <v>563</v>
      </c>
      <c r="D192" s="158" t="s">
        <v>1889</v>
      </c>
      <c r="E192" s="1249">
        <v>0.439</v>
      </c>
      <c r="F192" s="1249"/>
      <c r="G192" s="1249"/>
      <c r="H192" s="1249"/>
    </row>
    <row r="193" spans="1:8" x14ac:dyDescent="0.35">
      <c r="A193" s="1979"/>
      <c r="B193" s="158" t="s">
        <v>1999</v>
      </c>
      <c r="C193" s="158" t="s">
        <v>563</v>
      </c>
      <c r="D193" s="158" t="s">
        <v>1889</v>
      </c>
      <c r="E193" s="1249">
        <v>0.64300000000000002</v>
      </c>
      <c r="F193" s="1249"/>
      <c r="G193" s="1249"/>
      <c r="H193" s="1249"/>
    </row>
    <row r="194" spans="1:8" x14ac:dyDescent="0.35">
      <c r="A194" s="1979"/>
      <c r="B194" s="158" t="s">
        <v>2000</v>
      </c>
      <c r="C194" s="158" t="s">
        <v>563</v>
      </c>
      <c r="D194" s="158" t="s">
        <v>1889</v>
      </c>
      <c r="E194" s="1249">
        <v>0.19500000000000001</v>
      </c>
      <c r="F194" s="1249"/>
      <c r="G194" s="1249"/>
      <c r="H194" s="1249"/>
    </row>
    <row r="195" spans="1:8" x14ac:dyDescent="0.35">
      <c r="A195" s="1979"/>
      <c r="B195" s="158" t="s">
        <v>2001</v>
      </c>
      <c r="C195" s="158" t="s">
        <v>563</v>
      </c>
      <c r="D195" s="158" t="s">
        <v>1910</v>
      </c>
      <c r="E195" s="1249">
        <v>0.33800000000000002</v>
      </c>
      <c r="F195" s="1249"/>
      <c r="G195" s="1249"/>
      <c r="H195" s="1249"/>
    </row>
    <row r="196" spans="1:8" x14ac:dyDescent="0.35">
      <c r="A196" s="1979"/>
      <c r="B196" s="158" t="s">
        <v>2002</v>
      </c>
      <c r="C196" s="158" t="s">
        <v>563</v>
      </c>
      <c r="D196" s="158" t="s">
        <v>1889</v>
      </c>
      <c r="E196" s="1249">
        <v>0.36</v>
      </c>
      <c r="F196" s="1249"/>
      <c r="G196" s="1249"/>
      <c r="H196" s="1249"/>
    </row>
    <row r="197" spans="1:8" x14ac:dyDescent="0.35">
      <c r="A197" s="1979"/>
      <c r="B197" s="158" t="s">
        <v>2003</v>
      </c>
      <c r="C197" s="158" t="s">
        <v>563</v>
      </c>
      <c r="D197" s="158" t="s">
        <v>1889</v>
      </c>
      <c r="E197" s="1249">
        <v>0.39800000000000002</v>
      </c>
      <c r="F197" s="1249"/>
      <c r="G197" s="1249"/>
      <c r="H197" s="1249"/>
    </row>
    <row r="198" spans="1:8" x14ac:dyDescent="0.35">
      <c r="A198" s="1979"/>
      <c r="B198" s="158" t="s">
        <v>2004</v>
      </c>
      <c r="C198" s="158" t="s">
        <v>563</v>
      </c>
      <c r="D198" s="158" t="s">
        <v>1910</v>
      </c>
      <c r="E198" s="1249">
        <v>0.59799999999999998</v>
      </c>
      <c r="F198" s="1249"/>
      <c r="G198" s="1249"/>
      <c r="H198" s="1249"/>
    </row>
    <row r="199" spans="1:8" x14ac:dyDescent="0.35">
      <c r="A199" s="1979"/>
      <c r="B199" s="158" t="s">
        <v>2005</v>
      </c>
      <c r="C199" s="158" t="s">
        <v>563</v>
      </c>
      <c r="D199" s="158" t="s">
        <v>1889</v>
      </c>
      <c r="E199" s="1249">
        <v>0.36699999999999999</v>
      </c>
      <c r="F199" s="1249"/>
      <c r="G199" s="1249"/>
      <c r="H199" s="1249"/>
    </row>
    <row r="200" spans="1:8" x14ac:dyDescent="0.35">
      <c r="A200" s="1979"/>
      <c r="B200" s="158" t="s">
        <v>2006</v>
      </c>
      <c r="C200" s="158" t="s">
        <v>563</v>
      </c>
      <c r="D200" s="158" t="s">
        <v>1889</v>
      </c>
      <c r="E200" s="1249">
        <v>0.55700000000000005</v>
      </c>
      <c r="F200" s="1249"/>
      <c r="G200" s="1249"/>
      <c r="H200" s="1249"/>
    </row>
    <row r="201" spans="1:8" x14ac:dyDescent="0.35">
      <c r="A201" s="1979"/>
      <c r="B201" s="158" t="s">
        <v>2007</v>
      </c>
      <c r="C201" s="158" t="s">
        <v>563</v>
      </c>
      <c r="D201" s="158" t="s">
        <v>1889</v>
      </c>
      <c r="E201" s="1249">
        <v>0.45400000000000001</v>
      </c>
      <c r="F201" s="1249"/>
      <c r="G201" s="1249"/>
      <c r="H201" s="1249"/>
    </row>
    <row r="202" spans="1:8" x14ac:dyDescent="0.35">
      <c r="A202" s="1979"/>
      <c r="B202" s="158" t="s">
        <v>2008</v>
      </c>
      <c r="C202" s="158" t="s">
        <v>563</v>
      </c>
      <c r="D202" s="158" t="s">
        <v>1889</v>
      </c>
      <c r="E202" s="1249">
        <v>0.44700000000000001</v>
      </c>
      <c r="F202" s="1249"/>
      <c r="G202" s="1249"/>
      <c r="H202" s="1249"/>
    </row>
    <row r="203" spans="1:8" x14ac:dyDescent="0.35">
      <c r="A203" s="1979"/>
      <c r="B203" s="158" t="s">
        <v>2009</v>
      </c>
      <c r="C203" s="158" t="s">
        <v>563</v>
      </c>
      <c r="D203" s="158" t="s">
        <v>1889</v>
      </c>
      <c r="E203" s="1249">
        <v>0.40200000000000002</v>
      </c>
      <c r="F203" s="1249"/>
      <c r="G203" s="1249"/>
      <c r="H203" s="1249"/>
    </row>
    <row r="204" spans="1:8" x14ac:dyDescent="0.35">
      <c r="A204" s="1979"/>
      <c r="B204" s="158" t="s">
        <v>2010</v>
      </c>
      <c r="C204" s="158" t="s">
        <v>563</v>
      </c>
      <c r="D204" s="158" t="s">
        <v>1889</v>
      </c>
      <c r="E204" s="1249">
        <v>0.48399999999999999</v>
      </c>
      <c r="F204" s="1249"/>
      <c r="G204" s="1249"/>
      <c r="H204" s="1249"/>
    </row>
    <row r="205" spans="1:8" x14ac:dyDescent="0.35">
      <c r="A205" s="1979"/>
      <c r="B205" s="158" t="s">
        <v>2011</v>
      </c>
      <c r="C205" s="158" t="s">
        <v>563</v>
      </c>
      <c r="D205" s="158" t="s">
        <v>1889</v>
      </c>
      <c r="E205" s="1249">
        <v>0.65600000000000003</v>
      </c>
      <c r="F205" s="1249"/>
      <c r="G205" s="1249"/>
      <c r="H205" s="1249"/>
    </row>
    <row r="206" spans="1:8" x14ac:dyDescent="0.35">
      <c r="A206" s="1979"/>
      <c r="B206" s="158" t="s">
        <v>2012</v>
      </c>
      <c r="C206" s="158" t="s">
        <v>563</v>
      </c>
      <c r="D206" s="158" t="s">
        <v>1889</v>
      </c>
      <c r="E206" s="1249">
        <v>0.60699999999999998</v>
      </c>
      <c r="F206" s="1249"/>
      <c r="G206" s="1249"/>
      <c r="H206" s="1249"/>
    </row>
    <row r="207" spans="1:8" x14ac:dyDescent="0.35">
      <c r="A207" s="1979"/>
      <c r="B207" s="158" t="s">
        <v>2013</v>
      </c>
      <c r="C207" s="158" t="s">
        <v>563</v>
      </c>
      <c r="D207" s="158" t="s">
        <v>1889</v>
      </c>
      <c r="E207" s="1249">
        <v>0.70299999999999996</v>
      </c>
      <c r="F207" s="1249"/>
      <c r="G207" s="1249"/>
      <c r="H207" s="1249"/>
    </row>
    <row r="208" spans="1:8" x14ac:dyDescent="0.35">
      <c r="A208" s="1979"/>
      <c r="B208" s="158" t="s">
        <v>2014</v>
      </c>
      <c r="C208" s="158" t="s">
        <v>563</v>
      </c>
      <c r="D208" s="158" t="s">
        <v>1889</v>
      </c>
      <c r="E208" s="1249">
        <v>0.47299999999999998</v>
      </c>
      <c r="F208" s="1249"/>
      <c r="G208" s="1249"/>
      <c r="H208" s="1249"/>
    </row>
    <row r="209" spans="1:8" x14ac:dyDescent="0.35">
      <c r="A209" s="1979"/>
      <c r="B209" s="158" t="s">
        <v>2015</v>
      </c>
      <c r="C209" s="158" t="s">
        <v>563</v>
      </c>
      <c r="D209" s="158" t="s">
        <v>1889</v>
      </c>
      <c r="E209" s="1249">
        <v>0.39600000000000002</v>
      </c>
      <c r="F209" s="1249"/>
      <c r="G209" s="1249"/>
      <c r="H209" s="1249"/>
    </row>
    <row r="210" spans="1:8" x14ac:dyDescent="0.35">
      <c r="A210" s="1979"/>
      <c r="B210" s="158" t="s">
        <v>2016</v>
      </c>
      <c r="C210" s="158" t="s">
        <v>563</v>
      </c>
      <c r="D210" s="158" t="s">
        <v>1910</v>
      </c>
      <c r="E210" s="1249">
        <v>0.21199999999999999</v>
      </c>
      <c r="F210" s="1249"/>
      <c r="G210" s="1249"/>
      <c r="H210" s="1249"/>
    </row>
    <row r="211" spans="1:8" x14ac:dyDescent="0.35">
      <c r="A211" s="1979"/>
      <c r="B211" s="158" t="s">
        <v>2017</v>
      </c>
      <c r="C211" s="158" t="s">
        <v>563</v>
      </c>
      <c r="D211" s="158" t="s">
        <v>1889</v>
      </c>
      <c r="E211" s="1249">
        <v>4.2999999999999997E-2</v>
      </c>
      <c r="F211" s="1249"/>
      <c r="G211" s="1249"/>
      <c r="H211" s="1249"/>
    </row>
    <row r="212" spans="1:8" x14ac:dyDescent="0.35">
      <c r="A212" s="1979"/>
      <c r="B212" s="158" t="s">
        <v>1776</v>
      </c>
      <c r="C212" s="158" t="s">
        <v>563</v>
      </c>
      <c r="D212" s="158" t="s">
        <v>1889</v>
      </c>
      <c r="E212" s="1249">
        <v>0.67300000000000004</v>
      </c>
      <c r="F212" s="1249"/>
      <c r="G212" s="1249"/>
      <c r="H212" s="1249"/>
    </row>
    <row r="213" spans="1:8" x14ac:dyDescent="0.35">
      <c r="A213" s="1979"/>
      <c r="B213" s="158" t="s">
        <v>2018</v>
      </c>
      <c r="C213" s="158" t="s">
        <v>563</v>
      </c>
      <c r="D213" s="158" t="s">
        <v>1889</v>
      </c>
      <c r="E213" s="1249">
        <v>0.63700000000000001</v>
      </c>
      <c r="F213" s="1249"/>
      <c r="G213" s="1249"/>
      <c r="H213" s="1249"/>
    </row>
    <row r="214" spans="1:8" x14ac:dyDescent="0.35">
      <c r="A214" s="1979"/>
      <c r="B214" s="158" t="s">
        <v>2019</v>
      </c>
      <c r="C214" s="158" t="s">
        <v>563</v>
      </c>
      <c r="D214" s="158" t="s">
        <v>1889</v>
      </c>
      <c r="E214" s="1249">
        <v>0.47</v>
      </c>
      <c r="F214" s="1249"/>
      <c r="G214" s="1249"/>
      <c r="H214" s="1249"/>
    </row>
    <row r="215" spans="1:8" x14ac:dyDescent="0.35">
      <c r="A215" s="1979"/>
      <c r="B215" s="158" t="s">
        <v>2020</v>
      </c>
      <c r="C215" s="158" t="s">
        <v>563</v>
      </c>
      <c r="D215" s="158" t="s">
        <v>1889</v>
      </c>
      <c r="E215" s="1249">
        <v>0.93400000000000005</v>
      </c>
      <c r="F215" s="1249"/>
      <c r="G215" s="1249"/>
      <c r="H215" s="1249"/>
    </row>
    <row r="216" spans="1:8" x14ac:dyDescent="0.35">
      <c r="A216" s="1979"/>
      <c r="B216" s="158" t="s">
        <v>2021</v>
      </c>
      <c r="C216" s="158" t="s">
        <v>563</v>
      </c>
      <c r="D216" s="158" t="s">
        <v>1910</v>
      </c>
      <c r="E216" s="1249">
        <v>0.316</v>
      </c>
      <c r="F216" s="1249"/>
      <c r="G216" s="1249"/>
      <c r="H216" s="1249"/>
    </row>
    <row r="217" spans="1:8" x14ac:dyDescent="0.35">
      <c r="A217" s="1979"/>
      <c r="B217" s="158" t="s">
        <v>2022</v>
      </c>
      <c r="C217" s="158" t="s">
        <v>563</v>
      </c>
      <c r="D217" s="158" t="s">
        <v>1889</v>
      </c>
      <c r="E217" s="1249">
        <v>0.30299999999999999</v>
      </c>
      <c r="F217" s="1249"/>
      <c r="G217" s="1249"/>
      <c r="H217" s="1249"/>
    </row>
    <row r="218" spans="1:8" x14ac:dyDescent="0.35">
      <c r="A218" s="1979"/>
      <c r="B218" s="158" t="s">
        <v>2023</v>
      </c>
      <c r="C218" s="158" t="s">
        <v>563</v>
      </c>
      <c r="D218" s="158" t="s">
        <v>1889</v>
      </c>
      <c r="E218" s="1249">
        <v>0.30299999999999999</v>
      </c>
      <c r="F218" s="1249"/>
      <c r="G218" s="1249"/>
      <c r="H218" s="1249"/>
    </row>
    <row r="219" spans="1:8" x14ac:dyDescent="0.35">
      <c r="A219" s="1979"/>
      <c r="B219" s="158" t="s">
        <v>2024</v>
      </c>
      <c r="C219" s="158" t="s">
        <v>563</v>
      </c>
      <c r="D219" s="158" t="s">
        <v>1910</v>
      </c>
      <c r="E219" s="1249">
        <v>0.23300000000000001</v>
      </c>
      <c r="F219" s="1249"/>
      <c r="G219" s="1249"/>
      <c r="H219" s="1249"/>
    </row>
    <row r="220" spans="1:8" x14ac:dyDescent="0.35">
      <c r="A220" s="1979"/>
      <c r="B220" s="158" t="s">
        <v>2025</v>
      </c>
      <c r="C220" s="158" t="s">
        <v>563</v>
      </c>
      <c r="D220" s="158" t="s">
        <v>1889</v>
      </c>
      <c r="E220" s="1249">
        <v>0.54300000000000004</v>
      </c>
      <c r="F220" s="1249"/>
      <c r="G220" s="1249"/>
      <c r="H220" s="1249"/>
    </row>
    <row r="221" spans="1:8" x14ac:dyDescent="0.35">
      <c r="A221" s="1979"/>
      <c r="B221" s="158" t="s">
        <v>2026</v>
      </c>
      <c r="C221" s="158" t="s">
        <v>563</v>
      </c>
      <c r="D221" s="158" t="s">
        <v>1889</v>
      </c>
      <c r="E221" s="1249">
        <v>0.38100000000000001</v>
      </c>
      <c r="F221" s="1249"/>
      <c r="G221" s="1249"/>
      <c r="H221" s="1249"/>
    </row>
    <row r="222" spans="1:8" x14ac:dyDescent="0.35">
      <c r="A222" s="1979"/>
      <c r="B222" s="158" t="s">
        <v>2027</v>
      </c>
      <c r="C222" s="158" t="s">
        <v>563</v>
      </c>
      <c r="D222" s="158" t="s">
        <v>1889</v>
      </c>
      <c r="E222" s="1249">
        <v>0.51600000000000001</v>
      </c>
      <c r="F222" s="1249"/>
      <c r="G222" s="1249"/>
      <c r="H222" s="1249"/>
    </row>
    <row r="223" spans="1:8" x14ac:dyDescent="0.35">
      <c r="A223" s="1979"/>
      <c r="B223" s="158" t="s">
        <v>2028</v>
      </c>
      <c r="C223" s="158" t="s">
        <v>563</v>
      </c>
      <c r="D223" s="158" t="s">
        <v>1889</v>
      </c>
      <c r="E223" s="1249">
        <v>0.65300000000000002</v>
      </c>
      <c r="F223" s="1249"/>
      <c r="G223" s="1249"/>
      <c r="H223" s="1249"/>
    </row>
    <row r="224" spans="1:8" x14ac:dyDescent="0.35">
      <c r="A224" s="1979"/>
      <c r="B224" s="158" t="s">
        <v>1758</v>
      </c>
      <c r="C224" s="158" t="s">
        <v>563</v>
      </c>
      <c r="D224" s="158" t="s">
        <v>1889</v>
      </c>
      <c r="E224" s="1249">
        <v>0.317</v>
      </c>
      <c r="F224" s="1249"/>
      <c r="G224" s="1249"/>
      <c r="H224" s="1249"/>
    </row>
    <row r="225" spans="1:8" x14ac:dyDescent="0.35">
      <c r="A225" s="1979"/>
      <c r="B225" s="158" t="s">
        <v>2029</v>
      </c>
      <c r="C225" s="158" t="s">
        <v>563</v>
      </c>
      <c r="D225" s="158" t="s">
        <v>1889</v>
      </c>
      <c r="E225" s="1249">
        <v>0.60199999999999998</v>
      </c>
      <c r="F225" s="1249"/>
      <c r="G225" s="1249"/>
      <c r="H225" s="1249"/>
    </row>
    <row r="226" spans="1:8" x14ac:dyDescent="0.35">
      <c r="A226" s="1979"/>
      <c r="B226" s="158" t="s">
        <v>2030</v>
      </c>
      <c r="C226" s="158" t="s">
        <v>563</v>
      </c>
      <c r="D226" s="158" t="s">
        <v>1889</v>
      </c>
      <c r="E226" s="1249">
        <v>0.40699999999999997</v>
      </c>
      <c r="F226" s="1249"/>
      <c r="G226" s="1249"/>
      <c r="H226" s="1249"/>
    </row>
    <row r="227" spans="1:8" x14ac:dyDescent="0.35">
      <c r="A227" s="1979"/>
      <c r="B227" s="158" t="s">
        <v>2031</v>
      </c>
      <c r="C227" s="158" t="s">
        <v>563</v>
      </c>
      <c r="D227" s="158" t="s">
        <v>1889</v>
      </c>
      <c r="E227" s="1249">
        <v>0.29099999999999998</v>
      </c>
      <c r="F227" s="1249"/>
      <c r="G227" s="1249"/>
      <c r="H227" s="1249"/>
    </row>
    <row r="228" spans="1:8" x14ac:dyDescent="0.35">
      <c r="A228" s="1979"/>
      <c r="B228" s="158" t="s">
        <v>2032</v>
      </c>
      <c r="C228" s="158" t="s">
        <v>563</v>
      </c>
      <c r="D228" s="158" t="s">
        <v>1889</v>
      </c>
      <c r="E228" s="1249">
        <v>0.83199999999999996</v>
      </c>
      <c r="F228" s="1249"/>
      <c r="G228" s="1249"/>
      <c r="H228" s="1249"/>
    </row>
    <row r="229" spans="1:8" x14ac:dyDescent="0.35">
      <c r="A229" s="1979"/>
      <c r="B229" s="158" t="s">
        <v>2033</v>
      </c>
      <c r="C229" s="158" t="s">
        <v>563</v>
      </c>
      <c r="D229" s="158" t="s">
        <v>1889</v>
      </c>
      <c r="E229" s="1249">
        <v>0.40699999999999997</v>
      </c>
      <c r="F229" s="1249"/>
      <c r="G229" s="1249"/>
      <c r="H229" s="1249"/>
    </row>
    <row r="230" spans="1:8" x14ac:dyDescent="0.35">
      <c r="A230" s="1979"/>
      <c r="B230" s="158" t="s">
        <v>1806</v>
      </c>
      <c r="C230" s="158" t="s">
        <v>563</v>
      </c>
      <c r="D230" s="158" t="s">
        <v>1889</v>
      </c>
      <c r="E230" s="1249">
        <v>0.156</v>
      </c>
      <c r="F230" s="1249"/>
      <c r="G230" s="1249"/>
      <c r="H230" s="1249"/>
    </row>
    <row r="231" spans="1:8" x14ac:dyDescent="0.35">
      <c r="A231" s="1979"/>
      <c r="B231" s="158" t="s">
        <v>2034</v>
      </c>
      <c r="C231" s="158" t="s">
        <v>563</v>
      </c>
      <c r="D231" s="158" t="s">
        <v>1889</v>
      </c>
      <c r="E231" s="1249">
        <v>0.36599999999999999</v>
      </c>
      <c r="F231" s="1249"/>
      <c r="G231" s="1249"/>
      <c r="H231" s="1249"/>
    </row>
    <row r="232" spans="1:8" x14ac:dyDescent="0.35">
      <c r="A232" s="1979"/>
      <c r="B232" s="158" t="s">
        <v>2035</v>
      </c>
      <c r="C232" s="158" t="s">
        <v>563</v>
      </c>
      <c r="D232" s="158" t="s">
        <v>1910</v>
      </c>
      <c r="E232" s="1249">
        <v>0.11700000000000001</v>
      </c>
      <c r="F232" s="1249"/>
      <c r="G232" s="1249"/>
      <c r="H232" s="1249"/>
    </row>
    <row r="233" spans="1:8" x14ac:dyDescent="0.35">
      <c r="A233" s="1979"/>
      <c r="B233" s="158" t="s">
        <v>2036</v>
      </c>
      <c r="C233" s="158" t="s">
        <v>563</v>
      </c>
      <c r="D233" s="158" t="s">
        <v>1889</v>
      </c>
      <c r="E233" s="1249">
        <v>0.55200000000000005</v>
      </c>
      <c r="F233" s="1249"/>
      <c r="G233" s="1249"/>
      <c r="H233" s="1249"/>
    </row>
    <row r="234" spans="1:8" x14ac:dyDescent="0.35">
      <c r="A234" s="1979"/>
      <c r="B234" s="158" t="s">
        <v>2037</v>
      </c>
      <c r="C234" s="158" t="s">
        <v>563</v>
      </c>
      <c r="D234" s="158" t="s">
        <v>1889</v>
      </c>
      <c r="E234" s="1249">
        <v>4.2999999999999997E-2</v>
      </c>
      <c r="F234" s="1249"/>
      <c r="G234" s="1249"/>
      <c r="H234" s="1249"/>
    </row>
    <row r="235" spans="1:8" x14ac:dyDescent="0.35">
      <c r="A235" s="1979"/>
      <c r="B235" s="158" t="s">
        <v>2038</v>
      </c>
      <c r="C235" s="158" t="s">
        <v>563</v>
      </c>
      <c r="D235" s="158" t="s">
        <v>1889</v>
      </c>
      <c r="E235" s="1249">
        <v>0.40699999999999997</v>
      </c>
      <c r="F235" s="1249"/>
      <c r="G235" s="1249"/>
      <c r="H235" s="1249"/>
    </row>
    <row r="236" spans="1:8" x14ac:dyDescent="0.35">
      <c r="A236" s="1979"/>
      <c r="B236" s="158" t="s">
        <v>2039</v>
      </c>
      <c r="C236" s="158" t="s">
        <v>563</v>
      </c>
      <c r="D236" s="158" t="s">
        <v>1889</v>
      </c>
      <c r="E236" s="1249">
        <v>0.53800000000000003</v>
      </c>
      <c r="F236" s="1249"/>
      <c r="G236" s="1249"/>
      <c r="H236" s="1249"/>
    </row>
    <row r="237" spans="1:8" x14ac:dyDescent="0.35">
      <c r="A237" s="1979"/>
      <c r="B237" s="158" t="s">
        <v>2040</v>
      </c>
      <c r="C237" s="158" t="s">
        <v>563</v>
      </c>
      <c r="D237" s="158" t="s">
        <v>1910</v>
      </c>
      <c r="E237" s="1249">
        <v>2.1999999999999999E-2</v>
      </c>
      <c r="F237" s="1249"/>
      <c r="G237" s="1249"/>
      <c r="H237" s="1249"/>
    </row>
    <row r="238" spans="1:8" x14ac:dyDescent="0.35">
      <c r="A238" s="1979"/>
      <c r="B238" s="158" t="s">
        <v>2041</v>
      </c>
      <c r="C238" s="158" t="s">
        <v>563</v>
      </c>
      <c r="D238" s="158" t="s">
        <v>1889</v>
      </c>
      <c r="E238" s="1249">
        <v>0.215</v>
      </c>
      <c r="F238" s="1249"/>
      <c r="G238" s="1249"/>
      <c r="H238" s="1249"/>
    </row>
    <row r="239" spans="1:8" x14ac:dyDescent="0.35">
      <c r="A239" s="1979"/>
      <c r="B239" s="158" t="s">
        <v>2042</v>
      </c>
      <c r="C239" s="158" t="s">
        <v>563</v>
      </c>
      <c r="D239" s="158" t="s">
        <v>1910</v>
      </c>
      <c r="E239" s="1249">
        <v>7.3999999999999996E-2</v>
      </c>
      <c r="F239" s="1249"/>
      <c r="G239" s="1249"/>
      <c r="H239" s="1249"/>
    </row>
    <row r="240" spans="1:8" x14ac:dyDescent="0.35">
      <c r="A240" s="1979"/>
      <c r="B240" s="158" t="s">
        <v>2043</v>
      </c>
      <c r="C240" s="158" t="s">
        <v>563</v>
      </c>
      <c r="D240" s="158" t="s">
        <v>1889</v>
      </c>
      <c r="E240" s="1249">
        <v>0.23899999999999999</v>
      </c>
      <c r="F240" s="1249"/>
      <c r="G240" s="1249"/>
      <c r="H240" s="1249"/>
    </row>
    <row r="241" spans="1:8" x14ac:dyDescent="0.35">
      <c r="A241" s="1979"/>
      <c r="B241" s="158" t="s">
        <v>2044</v>
      </c>
      <c r="C241" s="158" t="s">
        <v>563</v>
      </c>
      <c r="D241" s="158" t="s">
        <v>1889</v>
      </c>
      <c r="E241" s="1249">
        <v>0.69099999999999995</v>
      </c>
      <c r="F241" s="1249"/>
      <c r="G241" s="1249"/>
      <c r="H241" s="1249"/>
    </row>
    <row r="242" spans="1:8" x14ac:dyDescent="0.35">
      <c r="A242" s="1979"/>
      <c r="B242" s="158" t="s">
        <v>2045</v>
      </c>
      <c r="C242" s="158" t="s">
        <v>563</v>
      </c>
      <c r="D242" s="158" t="s">
        <v>1889</v>
      </c>
      <c r="E242" s="1249">
        <v>0.377</v>
      </c>
      <c r="F242" s="1249"/>
      <c r="G242" s="1249"/>
      <c r="H242" s="1249"/>
    </row>
    <row r="243" spans="1:8" x14ac:dyDescent="0.35">
      <c r="A243" s="1979"/>
      <c r="B243" s="158" t="s">
        <v>2046</v>
      </c>
      <c r="C243" s="158" t="s">
        <v>563</v>
      </c>
      <c r="D243" s="158" t="s">
        <v>1889</v>
      </c>
      <c r="E243" s="1249">
        <v>0.47399999999999998</v>
      </c>
      <c r="F243" s="1249"/>
      <c r="G243" s="1249"/>
      <c r="H243" s="1249"/>
    </row>
    <row r="244" spans="1:8" x14ac:dyDescent="0.35">
      <c r="A244" s="1979"/>
      <c r="B244" s="158" t="s">
        <v>2047</v>
      </c>
      <c r="C244" s="158" t="s">
        <v>563</v>
      </c>
      <c r="D244" s="158" t="s">
        <v>1889</v>
      </c>
      <c r="E244" s="1249">
        <v>4.2999999999999997E-2</v>
      </c>
      <c r="F244" s="1249"/>
      <c r="G244" s="1249"/>
      <c r="H244" s="1249"/>
    </row>
    <row r="245" spans="1:8" x14ac:dyDescent="0.35">
      <c r="A245" s="1979"/>
      <c r="B245" s="158" t="s">
        <v>2048</v>
      </c>
      <c r="C245" s="158" t="s">
        <v>563</v>
      </c>
      <c r="D245" s="158" t="s">
        <v>1889</v>
      </c>
      <c r="E245" s="1249">
        <v>0.47</v>
      </c>
      <c r="F245" s="1249"/>
      <c r="G245" s="1249"/>
      <c r="H245" s="1249"/>
    </row>
    <row r="246" spans="1:8" x14ac:dyDescent="0.35">
      <c r="A246" s="1979"/>
      <c r="B246" s="158" t="s">
        <v>2049</v>
      </c>
      <c r="C246" s="158" t="s">
        <v>563</v>
      </c>
      <c r="D246" s="158" t="s">
        <v>1889</v>
      </c>
      <c r="E246" s="1249">
        <v>0.55300000000000005</v>
      </c>
      <c r="F246" s="1249"/>
      <c r="G246" s="1249"/>
      <c r="H246" s="1249"/>
    </row>
    <row r="247" spans="1:8" x14ac:dyDescent="0.35">
      <c r="A247" s="1979"/>
      <c r="B247" s="158" t="s">
        <v>2050</v>
      </c>
      <c r="C247" s="158" t="s">
        <v>563</v>
      </c>
      <c r="D247" s="158" t="s">
        <v>1889</v>
      </c>
      <c r="E247" s="1249">
        <v>0.55000000000000004</v>
      </c>
      <c r="F247" s="1249"/>
      <c r="G247" s="1249"/>
      <c r="H247" s="1249"/>
    </row>
    <row r="248" spans="1:8" x14ac:dyDescent="0.35">
      <c r="A248" s="1979"/>
      <c r="B248" s="158" t="s">
        <v>2051</v>
      </c>
      <c r="C248" s="158" t="s">
        <v>563</v>
      </c>
      <c r="D248" s="158" t="s">
        <v>1910</v>
      </c>
      <c r="E248" s="1249">
        <v>0.35699999999999998</v>
      </c>
      <c r="F248" s="1249"/>
      <c r="G248" s="1249"/>
      <c r="H248" s="1249"/>
    </row>
    <row r="249" spans="1:8" x14ac:dyDescent="0.35">
      <c r="A249" s="1979"/>
      <c r="B249" s="158" t="s">
        <v>2052</v>
      </c>
      <c r="C249" s="158" t="s">
        <v>563</v>
      </c>
      <c r="D249" s="158" t="s">
        <v>1889</v>
      </c>
      <c r="E249" s="1249">
        <v>0.61</v>
      </c>
      <c r="F249" s="1249"/>
      <c r="G249" s="1249"/>
      <c r="H249" s="1249"/>
    </row>
    <row r="250" spans="1:8" x14ac:dyDescent="0.35">
      <c r="A250" s="1979"/>
      <c r="B250" s="158" t="s">
        <v>2053</v>
      </c>
      <c r="C250" s="158" t="s">
        <v>563</v>
      </c>
      <c r="D250" s="158" t="s">
        <v>1889</v>
      </c>
      <c r="E250" s="1249">
        <v>0.46800000000000003</v>
      </c>
      <c r="F250" s="1249"/>
      <c r="G250" s="1249"/>
      <c r="H250" s="1249"/>
    </row>
    <row r="251" spans="1:8" x14ac:dyDescent="0.35">
      <c r="A251" s="1979"/>
      <c r="B251" s="158" t="s">
        <v>2054</v>
      </c>
      <c r="C251" s="158" t="s">
        <v>563</v>
      </c>
      <c r="D251" s="158" t="s">
        <v>1889</v>
      </c>
      <c r="E251" s="1249">
        <v>0.51200000000000001</v>
      </c>
      <c r="F251" s="1249"/>
      <c r="G251" s="1249"/>
      <c r="H251" s="1249"/>
    </row>
    <row r="252" spans="1:8" x14ac:dyDescent="0.35">
      <c r="A252" s="1979"/>
      <c r="B252" s="158" t="s">
        <v>2055</v>
      </c>
      <c r="C252" s="158" t="s">
        <v>563</v>
      </c>
      <c r="D252" s="158" t="s">
        <v>1889</v>
      </c>
      <c r="E252" s="1249">
        <v>0.55200000000000005</v>
      </c>
      <c r="F252" s="1249"/>
      <c r="G252" s="1249"/>
      <c r="H252" s="1249"/>
    </row>
    <row r="253" spans="1:8" x14ac:dyDescent="0.35">
      <c r="A253" s="1979"/>
      <c r="B253" s="158" t="s">
        <v>2056</v>
      </c>
      <c r="C253" s="158" t="s">
        <v>563</v>
      </c>
      <c r="D253" s="158" t="s">
        <v>1889</v>
      </c>
      <c r="E253" s="1249">
        <v>0.54500000000000004</v>
      </c>
      <c r="F253" s="1249"/>
      <c r="G253" s="1249"/>
      <c r="H253" s="1249"/>
    </row>
    <row r="254" spans="1:8" x14ac:dyDescent="0.35">
      <c r="A254" s="1979"/>
      <c r="B254" s="158" t="s">
        <v>2057</v>
      </c>
      <c r="C254" s="158" t="s">
        <v>563</v>
      </c>
      <c r="D254" s="158" t="s">
        <v>1889</v>
      </c>
      <c r="E254" s="1249">
        <v>0.32</v>
      </c>
      <c r="F254" s="1249"/>
      <c r="G254" s="1249"/>
      <c r="H254" s="1249"/>
    </row>
    <row r="255" spans="1:8" x14ac:dyDescent="0.35">
      <c r="A255" s="1979"/>
      <c r="B255" s="158" t="s">
        <v>2058</v>
      </c>
      <c r="C255" s="158" t="s">
        <v>563</v>
      </c>
      <c r="D255" s="158" t="s">
        <v>1889</v>
      </c>
      <c r="E255" s="1249">
        <v>0.61</v>
      </c>
      <c r="F255" s="1249"/>
      <c r="G255" s="1249"/>
      <c r="H255" s="1249"/>
    </row>
    <row r="256" spans="1:8" x14ac:dyDescent="0.35">
      <c r="A256" s="1979"/>
      <c r="B256" s="158" t="s">
        <v>2059</v>
      </c>
      <c r="C256" s="158" t="s">
        <v>563</v>
      </c>
      <c r="D256" s="158" t="s">
        <v>1889</v>
      </c>
      <c r="E256" s="1249">
        <v>0.436</v>
      </c>
      <c r="F256" s="1249"/>
      <c r="G256" s="1249"/>
      <c r="H256" s="1249"/>
    </row>
    <row r="257" spans="1:8" x14ac:dyDescent="0.35">
      <c r="A257" s="1979"/>
      <c r="B257" s="158" t="s">
        <v>2060</v>
      </c>
      <c r="C257" s="158" t="s">
        <v>563</v>
      </c>
      <c r="D257" s="158" t="s">
        <v>1889</v>
      </c>
      <c r="E257" s="1249">
        <v>4.2999999999999997E-2</v>
      </c>
      <c r="F257" s="1249"/>
      <c r="G257" s="1249"/>
      <c r="H257" s="1249"/>
    </row>
    <row r="258" spans="1:8" x14ac:dyDescent="0.35">
      <c r="A258" s="1979"/>
      <c r="B258" s="158" t="s">
        <v>2061</v>
      </c>
      <c r="C258" s="158" t="s">
        <v>563</v>
      </c>
      <c r="D258" s="158" t="s">
        <v>1889</v>
      </c>
      <c r="E258" s="1249">
        <v>1.0489999999999999</v>
      </c>
      <c r="F258" s="1249"/>
      <c r="G258" s="1249"/>
      <c r="H258" s="1249"/>
    </row>
    <row r="259" spans="1:8" x14ac:dyDescent="0.35">
      <c r="A259" s="1979"/>
      <c r="B259" s="158" t="s">
        <v>2062</v>
      </c>
      <c r="C259" s="158" t="s">
        <v>563</v>
      </c>
      <c r="D259" s="158" t="s">
        <v>1889</v>
      </c>
      <c r="E259" s="1249">
        <v>0.54400000000000004</v>
      </c>
      <c r="F259" s="1249"/>
      <c r="G259" s="1249"/>
      <c r="H259" s="1249"/>
    </row>
    <row r="260" spans="1:8" x14ac:dyDescent="0.35">
      <c r="A260" s="1979"/>
      <c r="B260" s="158" t="s">
        <v>2063</v>
      </c>
      <c r="C260" s="158" t="s">
        <v>563</v>
      </c>
      <c r="D260" s="158" t="s">
        <v>1889</v>
      </c>
      <c r="E260" s="1249">
        <v>0.54200000000000004</v>
      </c>
      <c r="F260" s="1249"/>
      <c r="G260" s="1249"/>
      <c r="H260" s="1249"/>
    </row>
    <row r="261" spans="1:8" x14ac:dyDescent="0.35">
      <c r="A261" s="1979"/>
      <c r="B261" s="158" t="s">
        <v>2064</v>
      </c>
      <c r="C261" s="158" t="s">
        <v>563</v>
      </c>
      <c r="D261" s="158" t="s">
        <v>1889</v>
      </c>
      <c r="E261" s="1249">
        <v>0.55100000000000005</v>
      </c>
      <c r="F261" s="1249"/>
      <c r="G261" s="1249"/>
      <c r="H261" s="1249"/>
    </row>
    <row r="262" spans="1:8" x14ac:dyDescent="0.35">
      <c r="A262" s="1979"/>
      <c r="B262" s="158" t="s">
        <v>2065</v>
      </c>
      <c r="C262" s="158" t="s">
        <v>563</v>
      </c>
      <c r="D262" s="158" t="s">
        <v>1889</v>
      </c>
      <c r="E262" s="1249">
        <v>0.128</v>
      </c>
      <c r="F262" s="1249"/>
      <c r="G262" s="1249"/>
      <c r="H262" s="1249"/>
    </row>
    <row r="263" spans="1:8" x14ac:dyDescent="0.35">
      <c r="A263" s="1979"/>
      <c r="B263" s="158" t="s">
        <v>2066</v>
      </c>
      <c r="C263" s="158" t="s">
        <v>563</v>
      </c>
      <c r="D263" s="158" t="s">
        <v>1889</v>
      </c>
      <c r="E263" s="1249">
        <v>0.36699999999999999</v>
      </c>
      <c r="F263" s="1249"/>
      <c r="G263" s="1249"/>
      <c r="H263" s="1249"/>
    </row>
    <row r="264" spans="1:8" x14ac:dyDescent="0.35">
      <c r="A264" s="1979"/>
      <c r="B264" s="158" t="s">
        <v>2067</v>
      </c>
      <c r="C264" s="158" t="s">
        <v>563</v>
      </c>
      <c r="D264" s="158" t="s">
        <v>1889</v>
      </c>
      <c r="E264" s="1249">
        <v>0.13400000000000001</v>
      </c>
      <c r="F264" s="1249"/>
      <c r="G264" s="1249"/>
      <c r="H264" s="1249"/>
    </row>
    <row r="265" spans="1:8" x14ac:dyDescent="0.35">
      <c r="A265" s="1979"/>
      <c r="B265" s="158" t="s">
        <v>2068</v>
      </c>
      <c r="C265" s="158" t="s">
        <v>563</v>
      </c>
      <c r="D265" s="158" t="s">
        <v>1889</v>
      </c>
      <c r="E265" s="1249">
        <v>0.56799999999999995</v>
      </c>
      <c r="F265" s="1249"/>
      <c r="G265" s="1249"/>
      <c r="H265" s="1249"/>
    </row>
    <row r="266" spans="1:8" x14ac:dyDescent="0.35">
      <c r="A266" s="1979"/>
      <c r="B266" s="158" t="s">
        <v>2069</v>
      </c>
      <c r="C266" s="158" t="s">
        <v>563</v>
      </c>
      <c r="D266" s="158" t="s">
        <v>1889</v>
      </c>
      <c r="E266" s="1249">
        <v>4.2999999999999997E-2</v>
      </c>
      <c r="F266" s="1249"/>
      <c r="G266" s="1249"/>
      <c r="H266" s="1249"/>
    </row>
    <row r="267" spans="1:8" x14ac:dyDescent="0.35">
      <c r="A267" s="1979"/>
      <c r="B267" s="158" t="s">
        <v>2070</v>
      </c>
      <c r="C267" s="158" t="s">
        <v>563</v>
      </c>
      <c r="D267" s="158" t="s">
        <v>1910</v>
      </c>
      <c r="E267" s="1249">
        <v>0.39</v>
      </c>
      <c r="F267" s="1249"/>
      <c r="G267" s="1249"/>
      <c r="H267" s="1249"/>
    </row>
    <row r="268" spans="1:8" x14ac:dyDescent="0.35">
      <c r="A268" s="1979"/>
      <c r="B268" s="158" t="s">
        <v>2071</v>
      </c>
      <c r="C268" s="158" t="s">
        <v>563</v>
      </c>
      <c r="D268" s="158" t="s">
        <v>1889</v>
      </c>
      <c r="E268" s="1249">
        <v>0.48499999999999999</v>
      </c>
      <c r="F268" s="1249"/>
      <c r="G268" s="1249"/>
      <c r="H268" s="1249"/>
    </row>
    <row r="269" spans="1:8" x14ac:dyDescent="0.35">
      <c r="A269" s="1979"/>
      <c r="B269" s="158" t="s">
        <v>2072</v>
      </c>
      <c r="C269" s="158" t="s">
        <v>563</v>
      </c>
      <c r="D269" s="158" t="s">
        <v>1889</v>
      </c>
      <c r="E269" s="1249">
        <v>0.41699999999999998</v>
      </c>
      <c r="F269" s="1249"/>
      <c r="G269" s="1249"/>
      <c r="H269" s="1249"/>
    </row>
    <row r="270" spans="1:8" x14ac:dyDescent="0.35">
      <c r="A270" s="1979"/>
      <c r="B270" s="158" t="s">
        <v>2073</v>
      </c>
      <c r="C270" s="158" t="s">
        <v>563</v>
      </c>
      <c r="D270" s="158" t="s">
        <v>1889</v>
      </c>
      <c r="E270" s="1249">
        <v>0.16</v>
      </c>
      <c r="F270" s="1249"/>
      <c r="G270" s="1249"/>
      <c r="H270" s="1249"/>
    </row>
    <row r="271" spans="1:8" x14ac:dyDescent="0.35">
      <c r="A271" s="1979"/>
      <c r="B271" s="158" t="s">
        <v>2074</v>
      </c>
      <c r="C271" s="158" t="s">
        <v>563</v>
      </c>
      <c r="D271" s="158" t="s">
        <v>1889</v>
      </c>
      <c r="E271" s="1249">
        <v>0.42899999999999999</v>
      </c>
      <c r="F271" s="1249"/>
      <c r="G271" s="1249"/>
      <c r="H271" s="1249"/>
    </row>
    <row r="272" spans="1:8" x14ac:dyDescent="0.35">
      <c r="A272" s="1979"/>
      <c r="B272" s="158" t="s">
        <v>2075</v>
      </c>
      <c r="C272" s="158" t="s">
        <v>563</v>
      </c>
      <c r="D272" s="158" t="s">
        <v>1889</v>
      </c>
      <c r="E272" s="1249">
        <v>0.749</v>
      </c>
      <c r="F272" s="1249"/>
      <c r="G272" s="1249"/>
      <c r="H272" s="1249"/>
    </row>
    <row r="273" spans="1:8" x14ac:dyDescent="0.35">
      <c r="A273" s="1979"/>
      <c r="B273" s="158" t="s">
        <v>2076</v>
      </c>
      <c r="C273" s="158" t="s">
        <v>563</v>
      </c>
      <c r="D273" s="158" t="s">
        <v>1889</v>
      </c>
      <c r="E273" s="1249">
        <v>0.39500000000000002</v>
      </c>
      <c r="F273" s="1249"/>
      <c r="G273" s="1249"/>
      <c r="H273" s="1249"/>
    </row>
    <row r="274" spans="1:8" x14ac:dyDescent="0.35">
      <c r="A274" s="1979"/>
      <c r="B274" s="158" t="s">
        <v>2077</v>
      </c>
      <c r="C274" s="158" t="s">
        <v>563</v>
      </c>
      <c r="D274" s="158" t="s">
        <v>1889</v>
      </c>
      <c r="E274" s="1249">
        <v>0.35499999999999998</v>
      </c>
      <c r="F274" s="1249"/>
      <c r="G274" s="1249"/>
      <c r="H274" s="1249"/>
    </row>
    <row r="275" spans="1:8" x14ac:dyDescent="0.35">
      <c r="A275" s="1979"/>
      <c r="B275" s="158" t="s">
        <v>2078</v>
      </c>
      <c r="C275" s="158" t="s">
        <v>563</v>
      </c>
      <c r="D275" s="158" t="s">
        <v>1889</v>
      </c>
      <c r="E275" s="1249">
        <v>0.48599999999999999</v>
      </c>
      <c r="F275" s="1249"/>
      <c r="G275" s="1249"/>
      <c r="H275" s="1249"/>
    </row>
    <row r="276" spans="1:8" x14ac:dyDescent="0.35">
      <c r="A276" s="1979"/>
      <c r="B276" s="158" t="s">
        <v>2079</v>
      </c>
      <c r="C276" s="158" t="s">
        <v>563</v>
      </c>
      <c r="D276" s="158" t="s">
        <v>1910</v>
      </c>
      <c r="E276" s="1249">
        <v>1.9E-2</v>
      </c>
      <c r="F276" s="1249"/>
      <c r="G276" s="1249"/>
      <c r="H276" s="1249"/>
    </row>
    <row r="277" spans="1:8" x14ac:dyDescent="0.35">
      <c r="A277" s="1979"/>
      <c r="B277" s="158" t="s">
        <v>2080</v>
      </c>
      <c r="C277" s="158" t="s">
        <v>563</v>
      </c>
      <c r="D277" s="158" t="s">
        <v>1889</v>
      </c>
      <c r="E277" s="1249">
        <v>0.38100000000000001</v>
      </c>
      <c r="F277" s="1249"/>
      <c r="G277" s="1249"/>
      <c r="H277" s="1249"/>
    </row>
    <row r="278" spans="1:8" x14ac:dyDescent="0.35">
      <c r="A278" s="1979"/>
      <c r="B278" s="158" t="s">
        <v>1770</v>
      </c>
      <c r="C278" s="158" t="s">
        <v>563</v>
      </c>
      <c r="D278" s="158" t="s">
        <v>1889</v>
      </c>
      <c r="E278" s="1249">
        <v>0.45300000000000001</v>
      </c>
      <c r="F278" s="1249"/>
      <c r="G278" s="1249"/>
      <c r="H278" s="1249"/>
    </row>
    <row r="279" spans="1:8" x14ac:dyDescent="0.35">
      <c r="A279" s="1979"/>
      <c r="B279" s="158" t="s">
        <v>2081</v>
      </c>
      <c r="C279" s="158" t="s">
        <v>563</v>
      </c>
      <c r="D279" s="158" t="s">
        <v>1889</v>
      </c>
      <c r="E279" s="1249">
        <v>0.53</v>
      </c>
      <c r="F279" s="1249"/>
      <c r="G279" s="1249"/>
      <c r="H279" s="1249"/>
    </row>
    <row r="280" spans="1:8" x14ac:dyDescent="0.35">
      <c r="A280" s="1979"/>
      <c r="B280" s="158" t="s">
        <v>2082</v>
      </c>
      <c r="C280" s="158" t="s">
        <v>563</v>
      </c>
      <c r="D280" s="158" t="s">
        <v>1889</v>
      </c>
      <c r="E280" s="1249">
        <v>0.36099999999999999</v>
      </c>
      <c r="F280" s="1249"/>
      <c r="G280" s="1249"/>
      <c r="H280" s="1249"/>
    </row>
    <row r="281" spans="1:8" x14ac:dyDescent="0.35">
      <c r="A281" s="1979"/>
      <c r="B281" s="158" t="s">
        <v>2083</v>
      </c>
      <c r="C281" s="158" t="s">
        <v>563</v>
      </c>
      <c r="D281" s="158" t="s">
        <v>1889</v>
      </c>
      <c r="E281" s="1249">
        <v>0.46800000000000003</v>
      </c>
      <c r="F281" s="1249"/>
      <c r="G281" s="1249"/>
      <c r="H281" s="1249"/>
    </row>
    <row r="282" spans="1:8" x14ac:dyDescent="0.35">
      <c r="A282" s="1979"/>
      <c r="B282" s="158" t="s">
        <v>2084</v>
      </c>
      <c r="C282" s="158" t="s">
        <v>563</v>
      </c>
      <c r="D282" s="158" t="s">
        <v>1889</v>
      </c>
      <c r="E282" s="1249">
        <v>4.2999999999999997E-2</v>
      </c>
      <c r="F282" s="1249"/>
      <c r="G282" s="1249"/>
      <c r="H282" s="1249"/>
    </row>
    <row r="283" spans="1:8" x14ac:dyDescent="0.35">
      <c r="A283" s="1979"/>
      <c r="B283" s="158" t="s">
        <v>2085</v>
      </c>
      <c r="C283" s="158" t="s">
        <v>563</v>
      </c>
      <c r="D283" s="158" t="s">
        <v>1889</v>
      </c>
      <c r="E283" s="1249">
        <v>0.30099999999999999</v>
      </c>
      <c r="F283" s="1249"/>
      <c r="G283" s="1249"/>
      <c r="H283" s="1249"/>
    </row>
    <row r="284" spans="1:8" x14ac:dyDescent="0.35">
      <c r="A284" s="1979"/>
      <c r="B284" s="158" t="s">
        <v>2086</v>
      </c>
      <c r="C284" s="158" t="s">
        <v>563</v>
      </c>
      <c r="D284" s="158" t="s">
        <v>1889</v>
      </c>
      <c r="E284" s="1249">
        <v>0.48899999999999999</v>
      </c>
      <c r="F284" s="1249"/>
      <c r="G284" s="1249"/>
      <c r="H284" s="1249"/>
    </row>
    <row r="285" spans="1:8" x14ac:dyDescent="0.35">
      <c r="A285" s="1979"/>
      <c r="B285" s="158" t="s">
        <v>2087</v>
      </c>
      <c r="C285" s="158" t="s">
        <v>563</v>
      </c>
      <c r="D285" s="158" t="s">
        <v>1910</v>
      </c>
      <c r="E285" s="1249">
        <v>0.71899999999999997</v>
      </c>
      <c r="F285" s="1249"/>
      <c r="G285" s="1249"/>
      <c r="H285" s="1249"/>
    </row>
    <row r="286" spans="1:8" x14ac:dyDescent="0.35">
      <c r="A286" s="1979"/>
      <c r="B286" s="158" t="s">
        <v>2088</v>
      </c>
      <c r="C286" s="158" t="s">
        <v>563</v>
      </c>
      <c r="D286" s="158" t="s">
        <v>1910</v>
      </c>
      <c r="E286" s="1249">
        <v>0.24399999999999999</v>
      </c>
      <c r="F286" s="1249"/>
      <c r="G286" s="1249"/>
      <c r="H286" s="1249"/>
    </row>
    <row r="287" spans="1:8" x14ac:dyDescent="0.35">
      <c r="A287" s="1979"/>
      <c r="B287" s="158" t="s">
        <v>2089</v>
      </c>
      <c r="C287" s="158" t="s">
        <v>563</v>
      </c>
      <c r="D287" s="158" t="s">
        <v>1889</v>
      </c>
      <c r="E287" s="1249">
        <v>0.39</v>
      </c>
      <c r="F287" s="1249"/>
      <c r="G287" s="1249"/>
      <c r="H287" s="1249"/>
    </row>
    <row r="288" spans="1:8" x14ac:dyDescent="0.35">
      <c r="A288" s="1979"/>
      <c r="B288" s="158" t="s">
        <v>2090</v>
      </c>
      <c r="C288" s="158" t="s">
        <v>563</v>
      </c>
      <c r="D288" s="158" t="s">
        <v>1889</v>
      </c>
      <c r="E288" s="1249">
        <v>0.27600000000000002</v>
      </c>
      <c r="F288" s="1249"/>
      <c r="G288" s="1249"/>
      <c r="H288" s="1249"/>
    </row>
    <row r="289" spans="1:8" x14ac:dyDescent="0.35">
      <c r="A289" s="1979"/>
      <c r="B289" s="158" t="s">
        <v>2091</v>
      </c>
      <c r="C289" s="158" t="s">
        <v>563</v>
      </c>
      <c r="D289" s="158" t="s">
        <v>1889</v>
      </c>
      <c r="E289" s="1249">
        <v>0.43</v>
      </c>
      <c r="F289" s="1249"/>
      <c r="G289" s="1249"/>
      <c r="H289" s="1249"/>
    </row>
    <row r="290" spans="1:8" x14ac:dyDescent="0.35">
      <c r="A290" s="1979"/>
      <c r="B290" s="158" t="s">
        <v>2092</v>
      </c>
      <c r="C290" s="158" t="s">
        <v>563</v>
      </c>
      <c r="D290" s="158" t="s">
        <v>1910</v>
      </c>
      <c r="E290" s="1249">
        <v>0.29299999999999998</v>
      </c>
      <c r="F290" s="1249"/>
      <c r="G290" s="1249"/>
      <c r="H290" s="1249"/>
    </row>
    <row r="291" spans="1:8" x14ac:dyDescent="0.35">
      <c r="A291" s="1979"/>
      <c r="B291" s="158" t="s">
        <v>2093</v>
      </c>
      <c r="C291" s="158" t="s">
        <v>563</v>
      </c>
      <c r="D291" s="158" t="s">
        <v>1889</v>
      </c>
      <c r="E291" s="1249">
        <v>0.35199999999999998</v>
      </c>
      <c r="F291" s="1249"/>
      <c r="G291" s="1249"/>
      <c r="H291" s="1249"/>
    </row>
    <row r="292" spans="1:8" x14ac:dyDescent="0.35">
      <c r="A292" s="1979"/>
      <c r="B292" s="158" t="s">
        <v>2094</v>
      </c>
      <c r="C292" s="158" t="s">
        <v>563</v>
      </c>
      <c r="D292" s="158" t="s">
        <v>1889</v>
      </c>
      <c r="E292" s="1249">
        <v>0.46100000000000002</v>
      </c>
      <c r="F292" s="1249"/>
      <c r="G292" s="1249"/>
      <c r="H292" s="1249"/>
    </row>
    <row r="293" spans="1:8" x14ac:dyDescent="0.35">
      <c r="A293" s="1979"/>
      <c r="B293" s="158" t="s">
        <v>2095</v>
      </c>
      <c r="C293" s="158" t="s">
        <v>563</v>
      </c>
      <c r="D293" s="158" t="s">
        <v>1889</v>
      </c>
      <c r="E293" s="1249">
        <v>0.31</v>
      </c>
      <c r="F293" s="1249"/>
      <c r="G293" s="1249"/>
      <c r="H293" s="1249"/>
    </row>
    <row r="294" spans="1:8" x14ac:dyDescent="0.35">
      <c r="A294" s="1979"/>
      <c r="B294" s="158" t="s">
        <v>2096</v>
      </c>
      <c r="C294" s="158" t="s">
        <v>563</v>
      </c>
      <c r="D294" s="158" t="s">
        <v>1889</v>
      </c>
      <c r="E294" s="1249">
        <v>0.502</v>
      </c>
      <c r="F294" s="1249"/>
      <c r="G294" s="1249"/>
      <c r="H294" s="1249"/>
    </row>
    <row r="295" spans="1:8" x14ac:dyDescent="0.35">
      <c r="A295" s="1979"/>
      <c r="B295" s="158" t="s">
        <v>2097</v>
      </c>
      <c r="C295" s="158" t="s">
        <v>563</v>
      </c>
      <c r="D295" s="158" t="s">
        <v>1889</v>
      </c>
      <c r="E295" s="1249">
        <v>0.56100000000000005</v>
      </c>
      <c r="F295" s="1249"/>
      <c r="G295" s="1249"/>
      <c r="H295" s="1249"/>
    </row>
    <row r="296" spans="1:8" x14ac:dyDescent="0.35">
      <c r="A296" s="1979"/>
      <c r="B296" s="158" t="s">
        <v>2098</v>
      </c>
      <c r="C296" s="158" t="s">
        <v>563</v>
      </c>
      <c r="D296" s="158" t="s">
        <v>1889</v>
      </c>
      <c r="E296" s="1249">
        <v>0.48699999999999999</v>
      </c>
      <c r="F296" s="1249"/>
      <c r="G296" s="1249"/>
      <c r="H296" s="1249"/>
    </row>
    <row r="297" spans="1:8" x14ac:dyDescent="0.35">
      <c r="A297" s="1979"/>
      <c r="B297" s="158" t="s">
        <v>2099</v>
      </c>
      <c r="C297" s="158" t="s">
        <v>563</v>
      </c>
      <c r="D297" s="158" t="s">
        <v>1889</v>
      </c>
      <c r="E297" s="1249">
        <v>0.432</v>
      </c>
      <c r="F297" s="1249"/>
      <c r="G297" s="1249"/>
      <c r="H297" s="1249"/>
    </row>
    <row r="298" spans="1:8" x14ac:dyDescent="0.35">
      <c r="A298" s="1979"/>
      <c r="B298" s="158" t="s">
        <v>2100</v>
      </c>
      <c r="C298" s="158" t="s">
        <v>563</v>
      </c>
      <c r="D298" s="158" t="s">
        <v>1889</v>
      </c>
      <c r="E298" s="1249">
        <v>0.52100000000000002</v>
      </c>
      <c r="F298" s="1249"/>
      <c r="G298" s="1249"/>
      <c r="H298" s="1249"/>
    </row>
    <row r="299" spans="1:8" x14ac:dyDescent="0.35">
      <c r="A299" s="1979"/>
      <c r="B299" s="158" t="s">
        <v>2101</v>
      </c>
      <c r="C299" s="158" t="s">
        <v>563</v>
      </c>
      <c r="D299" s="158" t="s">
        <v>1889</v>
      </c>
      <c r="E299" s="1249">
        <v>0.45900000000000002</v>
      </c>
      <c r="F299" s="1249"/>
      <c r="G299" s="1249"/>
      <c r="H299" s="1249"/>
    </row>
    <row r="300" spans="1:8" x14ac:dyDescent="0.35">
      <c r="A300" s="1979"/>
      <c r="B300" s="158" t="s">
        <v>2102</v>
      </c>
      <c r="C300" s="158" t="s">
        <v>563</v>
      </c>
      <c r="D300" s="158" t="s">
        <v>1889</v>
      </c>
      <c r="E300" s="1249">
        <v>4.2999999999999997E-2</v>
      </c>
      <c r="F300" s="1249"/>
      <c r="G300" s="1249"/>
      <c r="H300" s="1249"/>
    </row>
    <row r="301" spans="1:8" x14ac:dyDescent="0.35">
      <c r="A301" s="1979"/>
      <c r="B301" s="158" t="s">
        <v>2103</v>
      </c>
      <c r="C301" s="158" t="s">
        <v>563</v>
      </c>
      <c r="D301" s="158" t="s">
        <v>1889</v>
      </c>
      <c r="E301" s="1249">
        <v>0.53</v>
      </c>
      <c r="F301" s="1249"/>
      <c r="G301" s="1249"/>
      <c r="H301" s="1249"/>
    </row>
    <row r="302" spans="1:8" x14ac:dyDescent="0.35">
      <c r="A302" s="1979"/>
      <c r="B302" s="158" t="s">
        <v>2104</v>
      </c>
      <c r="C302" s="158" t="s">
        <v>563</v>
      </c>
      <c r="D302" s="158" t="s">
        <v>1889</v>
      </c>
      <c r="E302" s="1249">
        <v>0.47499999999999998</v>
      </c>
      <c r="F302" s="1249"/>
      <c r="G302" s="1249"/>
      <c r="H302" s="1249"/>
    </row>
    <row r="303" spans="1:8" x14ac:dyDescent="0.35">
      <c r="A303" s="1979"/>
      <c r="B303" s="158" t="s">
        <v>2105</v>
      </c>
      <c r="C303" s="158" t="s">
        <v>563</v>
      </c>
      <c r="D303" s="158" t="s">
        <v>1889</v>
      </c>
      <c r="E303" s="1249">
        <v>0.56799999999999995</v>
      </c>
      <c r="F303" s="1249"/>
      <c r="G303" s="1249"/>
      <c r="H303" s="1249"/>
    </row>
    <row r="304" spans="1:8" x14ac:dyDescent="0.35">
      <c r="A304" s="1979"/>
      <c r="B304" s="158" t="s">
        <v>2106</v>
      </c>
      <c r="C304" s="158" t="s">
        <v>563</v>
      </c>
      <c r="D304" s="158" t="s">
        <v>1889</v>
      </c>
      <c r="E304" s="1249">
        <v>0.69</v>
      </c>
      <c r="F304" s="1249"/>
      <c r="G304" s="1249"/>
      <c r="H304" s="1249"/>
    </row>
    <row r="305" spans="1:8" x14ac:dyDescent="0.35">
      <c r="A305" s="1979"/>
      <c r="B305" s="158" t="s">
        <v>2107</v>
      </c>
      <c r="C305" s="158" t="s">
        <v>563</v>
      </c>
      <c r="D305" s="158" t="s">
        <v>1889</v>
      </c>
      <c r="E305" s="1249">
        <v>0.51600000000000001</v>
      </c>
      <c r="F305" s="1249"/>
      <c r="G305" s="1249"/>
      <c r="H305" s="1249"/>
    </row>
    <row r="306" spans="1:8" x14ac:dyDescent="0.35">
      <c r="A306" s="1979"/>
      <c r="B306" s="158" t="s">
        <v>2108</v>
      </c>
      <c r="C306" s="158" t="s">
        <v>563</v>
      </c>
      <c r="D306" s="158" t="s">
        <v>1889</v>
      </c>
      <c r="E306" s="1249">
        <v>0.45500000000000002</v>
      </c>
      <c r="F306" s="1249"/>
      <c r="G306" s="1249"/>
      <c r="H306" s="1249"/>
    </row>
    <row r="307" spans="1:8" x14ac:dyDescent="0.35">
      <c r="A307" s="1979"/>
      <c r="B307" s="158" t="s">
        <v>2109</v>
      </c>
      <c r="C307" s="158" t="s">
        <v>563</v>
      </c>
      <c r="D307" s="158" t="s">
        <v>1889</v>
      </c>
      <c r="E307" s="1249">
        <v>0.249</v>
      </c>
      <c r="F307" s="1249"/>
      <c r="G307" s="1249"/>
      <c r="H307" s="1249"/>
    </row>
    <row r="308" spans="1:8" x14ac:dyDescent="0.35">
      <c r="A308" s="1979"/>
      <c r="B308" s="158" t="s">
        <v>2110</v>
      </c>
      <c r="C308" s="158" t="s">
        <v>563</v>
      </c>
      <c r="D308" s="158" t="s">
        <v>1889</v>
      </c>
      <c r="E308" s="1249">
        <v>0.46899999999999997</v>
      </c>
      <c r="F308" s="1249"/>
      <c r="G308" s="1249"/>
      <c r="H308" s="1249"/>
    </row>
    <row r="309" spans="1:8" x14ac:dyDescent="0.35">
      <c r="A309" s="1979"/>
      <c r="B309" s="158" t="s">
        <v>2111</v>
      </c>
      <c r="C309" s="158" t="s">
        <v>563</v>
      </c>
      <c r="D309" s="158" t="s">
        <v>1910</v>
      </c>
      <c r="E309" s="1249">
        <v>0.114</v>
      </c>
      <c r="F309" s="1249"/>
      <c r="G309" s="1249"/>
      <c r="H309" s="1249"/>
    </row>
    <row r="310" spans="1:8" x14ac:dyDescent="0.35">
      <c r="A310" s="1979"/>
      <c r="B310" s="158" t="s">
        <v>2112</v>
      </c>
      <c r="C310" s="158" t="s">
        <v>563</v>
      </c>
      <c r="D310" s="158" t="s">
        <v>1910</v>
      </c>
      <c r="E310" s="1249">
        <v>0.23100000000000001</v>
      </c>
      <c r="F310" s="1249"/>
      <c r="G310" s="1249"/>
      <c r="H310" s="1249"/>
    </row>
    <row r="311" spans="1:8" x14ac:dyDescent="0.35">
      <c r="A311" s="1979"/>
      <c r="B311" s="158" t="s">
        <v>2113</v>
      </c>
      <c r="C311" s="158" t="s">
        <v>563</v>
      </c>
      <c r="D311" s="158" t="s">
        <v>1889</v>
      </c>
      <c r="E311" s="1249">
        <v>0.63100000000000001</v>
      </c>
      <c r="F311" s="1249"/>
      <c r="G311" s="1249"/>
      <c r="H311" s="1249"/>
    </row>
    <row r="312" spans="1:8" x14ac:dyDescent="0.35">
      <c r="A312" s="1979"/>
      <c r="B312" s="158" t="s">
        <v>2114</v>
      </c>
      <c r="C312" s="158" t="s">
        <v>563</v>
      </c>
      <c r="D312" s="158" t="s">
        <v>1889</v>
      </c>
      <c r="E312" s="1249">
        <v>0.65800000000000003</v>
      </c>
      <c r="F312" s="1249"/>
      <c r="G312" s="1249"/>
      <c r="H312" s="1249"/>
    </row>
    <row r="313" spans="1:8" x14ac:dyDescent="0.35">
      <c r="A313" s="1979"/>
      <c r="B313" s="158" t="s">
        <v>2115</v>
      </c>
      <c r="C313" s="158" t="s">
        <v>563</v>
      </c>
      <c r="D313" s="158" t="s">
        <v>1889</v>
      </c>
      <c r="E313" s="1249">
        <v>0.83099999999999996</v>
      </c>
      <c r="F313" s="1249"/>
      <c r="G313" s="1249"/>
      <c r="H313" s="1249"/>
    </row>
    <row r="314" spans="1:8" x14ac:dyDescent="0.35">
      <c r="A314" s="1979"/>
      <c r="B314" s="158" t="s">
        <v>2116</v>
      </c>
      <c r="C314" s="158" t="s">
        <v>563</v>
      </c>
      <c r="D314" s="158" t="s">
        <v>1889</v>
      </c>
      <c r="E314" s="1249">
        <v>0.74299999999999999</v>
      </c>
      <c r="F314" s="1249"/>
      <c r="G314" s="1249"/>
      <c r="H314" s="1249"/>
    </row>
    <row r="315" spans="1:8" x14ac:dyDescent="0.35">
      <c r="A315" s="1979"/>
      <c r="B315" s="158" t="s">
        <v>2117</v>
      </c>
      <c r="C315" s="158" t="s">
        <v>563</v>
      </c>
      <c r="D315" s="158" t="s">
        <v>1910</v>
      </c>
      <c r="E315" s="1249">
        <v>0.20699999999999999</v>
      </c>
      <c r="F315" s="1249"/>
      <c r="G315" s="1249"/>
      <c r="H315" s="1249"/>
    </row>
    <row r="316" spans="1:8" x14ac:dyDescent="0.35">
      <c r="A316" s="1979"/>
      <c r="B316" s="158" t="s">
        <v>2118</v>
      </c>
      <c r="C316" s="158" t="s">
        <v>563</v>
      </c>
      <c r="D316" s="158" t="s">
        <v>1889</v>
      </c>
      <c r="E316" s="1249">
        <v>0.46800000000000003</v>
      </c>
      <c r="F316" s="1249"/>
      <c r="G316" s="1249"/>
      <c r="H316" s="1249"/>
    </row>
    <row r="317" spans="1:8" x14ac:dyDescent="0.35">
      <c r="A317" s="1979"/>
      <c r="B317" s="158" t="s">
        <v>2119</v>
      </c>
      <c r="C317" s="158" t="s">
        <v>563</v>
      </c>
      <c r="D317" s="158" t="s">
        <v>1889</v>
      </c>
      <c r="E317" s="1249">
        <v>0.35199999999999998</v>
      </c>
      <c r="F317" s="1249"/>
      <c r="G317" s="1249"/>
      <c r="H317" s="1249"/>
    </row>
    <row r="318" spans="1:8" x14ac:dyDescent="0.35">
      <c r="A318" s="1979"/>
      <c r="B318" s="158" t="s">
        <v>2120</v>
      </c>
      <c r="C318" s="158" t="s">
        <v>563</v>
      </c>
      <c r="D318" s="158" t="s">
        <v>1889</v>
      </c>
      <c r="E318" s="1249">
        <v>0.48499999999999999</v>
      </c>
      <c r="F318" s="1249"/>
      <c r="G318" s="1249"/>
      <c r="H318" s="1249"/>
    </row>
    <row r="319" spans="1:8" x14ac:dyDescent="0.35">
      <c r="A319" s="1979"/>
      <c r="B319" s="158" t="s">
        <v>2121</v>
      </c>
      <c r="C319" s="158" t="s">
        <v>563</v>
      </c>
      <c r="D319" s="158" t="s">
        <v>1910</v>
      </c>
      <c r="E319" s="1249">
        <v>8.0000000000000002E-3</v>
      </c>
      <c r="F319" s="1249"/>
      <c r="G319" s="1249"/>
      <c r="H319" s="1249"/>
    </row>
    <row r="320" spans="1:8" x14ac:dyDescent="0.35">
      <c r="A320" s="1979"/>
      <c r="B320" s="158" t="s">
        <v>2122</v>
      </c>
      <c r="C320" s="158" t="s">
        <v>563</v>
      </c>
      <c r="D320" s="158" t="s">
        <v>1889</v>
      </c>
      <c r="E320" s="1249">
        <v>5.5E-2</v>
      </c>
      <c r="F320" s="1249"/>
      <c r="G320" s="1249"/>
      <c r="H320" s="1249"/>
    </row>
    <row r="321" spans="1:8" x14ac:dyDescent="0.35">
      <c r="A321" s="1979"/>
      <c r="B321" s="158" t="s">
        <v>2123</v>
      </c>
      <c r="C321" s="158" t="s">
        <v>563</v>
      </c>
      <c r="D321" s="158" t="s">
        <v>1889</v>
      </c>
      <c r="E321" s="1249">
        <v>0.52500000000000002</v>
      </c>
      <c r="F321" s="1249"/>
      <c r="G321" s="1249"/>
      <c r="H321" s="1249"/>
    </row>
    <row r="322" spans="1:8" x14ac:dyDescent="0.35">
      <c r="A322" s="1979"/>
      <c r="B322" s="158" t="s">
        <v>2124</v>
      </c>
      <c r="C322" s="158" t="s">
        <v>563</v>
      </c>
      <c r="D322" s="158" t="s">
        <v>1889</v>
      </c>
      <c r="E322" s="1249">
        <v>0.36499999999999999</v>
      </c>
      <c r="F322" s="1249"/>
      <c r="G322" s="1249"/>
      <c r="H322" s="1249"/>
    </row>
    <row r="323" spans="1:8" x14ac:dyDescent="0.35">
      <c r="A323" s="1979"/>
      <c r="B323" s="158" t="s">
        <v>1786</v>
      </c>
      <c r="C323" s="158" t="s">
        <v>563</v>
      </c>
      <c r="D323" s="158" t="s">
        <v>1889</v>
      </c>
      <c r="E323" s="1249">
        <v>6.3E-2</v>
      </c>
      <c r="F323" s="1249"/>
      <c r="G323" s="1249"/>
      <c r="H323" s="1249"/>
    </row>
    <row r="324" spans="1:8" x14ac:dyDescent="0.35">
      <c r="A324" s="1979"/>
      <c r="B324" s="158" t="s">
        <v>1747</v>
      </c>
      <c r="C324" s="158" t="s">
        <v>563</v>
      </c>
      <c r="D324" s="158" t="s">
        <v>1889</v>
      </c>
      <c r="E324" s="1249">
        <v>0.47699999999999998</v>
      </c>
      <c r="F324" s="1249"/>
      <c r="G324" s="1249"/>
      <c r="H324" s="1249"/>
    </row>
    <row r="325" spans="1:8" x14ac:dyDescent="0.35">
      <c r="B325" s="158" t="s">
        <v>2125</v>
      </c>
      <c r="C325" s="158" t="s">
        <v>563</v>
      </c>
      <c r="D325" s="158" t="s">
        <v>1889</v>
      </c>
      <c r="E325" s="1249">
        <v>0.39</v>
      </c>
      <c r="F325" s="1249"/>
      <c r="G325" s="1249"/>
      <c r="H325" s="1249"/>
    </row>
    <row r="326" spans="1:8" x14ac:dyDescent="0.35">
      <c r="B326" s="158" t="s">
        <v>2126</v>
      </c>
      <c r="C326" s="158" t="s">
        <v>563</v>
      </c>
      <c r="D326" s="158" t="s">
        <v>1889</v>
      </c>
      <c r="E326" s="1249">
        <v>0.63</v>
      </c>
      <c r="F326" s="1249"/>
      <c r="G326" s="1249"/>
      <c r="H326" s="1249"/>
    </row>
    <row r="327" spans="1:8" x14ac:dyDescent="0.35">
      <c r="B327" s="158" t="s">
        <v>2127</v>
      </c>
      <c r="C327" s="158" t="s">
        <v>563</v>
      </c>
      <c r="D327" s="158" t="s">
        <v>1889</v>
      </c>
      <c r="E327" s="1249">
        <v>0.34100000000000003</v>
      </c>
      <c r="F327" s="1249"/>
      <c r="G327" s="1249"/>
      <c r="H327" s="1249"/>
    </row>
    <row r="328" spans="1:8" x14ac:dyDescent="0.35">
      <c r="B328" s="158" t="s">
        <v>2128</v>
      </c>
      <c r="C328" s="158" t="s">
        <v>563</v>
      </c>
      <c r="D328" s="158" t="s">
        <v>1889</v>
      </c>
      <c r="E328" s="1249">
        <v>0.58299999999999996</v>
      </c>
      <c r="F328" s="1249"/>
      <c r="G328" s="1249"/>
      <c r="H328" s="1249"/>
    </row>
    <row r="329" spans="1:8" x14ac:dyDescent="0.35">
      <c r="B329" s="158" t="s">
        <v>2129</v>
      </c>
      <c r="C329" s="158" t="s">
        <v>563</v>
      </c>
      <c r="D329" s="158" t="s">
        <v>1889</v>
      </c>
      <c r="E329" s="1249">
        <v>0.42399999999999999</v>
      </c>
      <c r="F329" s="1249"/>
      <c r="G329" s="1249"/>
      <c r="H329" s="1249"/>
    </row>
    <row r="330" spans="1:8" x14ac:dyDescent="0.35">
      <c r="B330" s="158" t="s">
        <v>2130</v>
      </c>
      <c r="C330" s="158" t="s">
        <v>563</v>
      </c>
      <c r="D330" s="158" t="s">
        <v>1889</v>
      </c>
      <c r="E330" s="1249">
        <v>0.40400000000000003</v>
      </c>
      <c r="F330" s="1249"/>
      <c r="G330" s="1249"/>
      <c r="H330" s="1249"/>
    </row>
    <row r="331" spans="1:8" x14ac:dyDescent="0.35">
      <c r="B331" s="158" t="s">
        <v>2131</v>
      </c>
      <c r="C331" s="158" t="s">
        <v>563</v>
      </c>
      <c r="D331" s="158" t="s">
        <v>1889</v>
      </c>
      <c r="E331" s="1249">
        <v>0.32</v>
      </c>
      <c r="F331" s="1249"/>
      <c r="G331" s="1249"/>
      <c r="H331" s="1249"/>
    </row>
    <row r="332" spans="1:8" x14ac:dyDescent="0.35">
      <c r="B332" s="158" t="s">
        <v>2132</v>
      </c>
      <c r="C332" s="158" t="s">
        <v>563</v>
      </c>
      <c r="D332" s="158" t="s">
        <v>1889</v>
      </c>
      <c r="E332" s="1249">
        <v>0.69099999999999995</v>
      </c>
      <c r="F332" s="1249"/>
      <c r="G332" s="1249"/>
      <c r="H332" s="1249"/>
    </row>
    <row r="333" spans="1:8" x14ac:dyDescent="0.35">
      <c r="B333" s="158" t="s">
        <v>2133</v>
      </c>
      <c r="C333" s="158" t="s">
        <v>563</v>
      </c>
      <c r="D333" s="158" t="s">
        <v>1889</v>
      </c>
      <c r="E333" s="1249">
        <v>0.46800000000000003</v>
      </c>
      <c r="F333" s="1249"/>
      <c r="G333" s="1249"/>
      <c r="H333" s="1249"/>
    </row>
    <row r="334" spans="1:8" x14ac:dyDescent="0.35">
      <c r="B334" s="158" t="s">
        <v>2134</v>
      </c>
      <c r="C334" s="158" t="s">
        <v>563</v>
      </c>
      <c r="D334" s="158" t="s">
        <v>1889</v>
      </c>
      <c r="E334" s="1249">
        <v>0.52800000000000002</v>
      </c>
      <c r="F334" s="1249"/>
      <c r="G334" s="1249"/>
      <c r="H334" s="1249"/>
    </row>
    <row r="335" spans="1:8" x14ac:dyDescent="0.35">
      <c r="B335" s="158" t="s">
        <v>2135</v>
      </c>
      <c r="C335" s="158" t="s">
        <v>563</v>
      </c>
      <c r="D335" s="158" t="s">
        <v>1889</v>
      </c>
      <c r="E335" s="1249">
        <v>0.14000000000000001</v>
      </c>
      <c r="F335" s="1249"/>
      <c r="G335" s="1249"/>
      <c r="H335" s="1249"/>
    </row>
    <row r="336" spans="1:8" x14ac:dyDescent="0.35">
      <c r="B336" s="158" t="s">
        <v>2136</v>
      </c>
      <c r="C336" s="158" t="s">
        <v>563</v>
      </c>
      <c r="D336" s="158" t="s">
        <v>1889</v>
      </c>
      <c r="E336" s="1249">
        <v>0.52500000000000002</v>
      </c>
      <c r="F336" s="1249"/>
      <c r="G336" s="1249"/>
      <c r="H336" s="1249"/>
    </row>
    <row r="337" spans="2:8" x14ac:dyDescent="0.35">
      <c r="B337" s="158" t="s">
        <v>2137</v>
      </c>
      <c r="C337" s="158" t="s">
        <v>563</v>
      </c>
      <c r="D337" s="158" t="s">
        <v>1889</v>
      </c>
      <c r="E337" s="1249">
        <v>0.35299999999999998</v>
      </c>
      <c r="F337" s="1249"/>
      <c r="G337" s="1249"/>
      <c r="H337" s="1249"/>
    </row>
    <row r="338" spans="2:8" x14ac:dyDescent="0.35">
      <c r="B338" s="158" t="s">
        <v>2138</v>
      </c>
      <c r="C338" s="158" t="s">
        <v>563</v>
      </c>
      <c r="D338" s="158" t="s">
        <v>2139</v>
      </c>
      <c r="E338" s="1249">
        <v>0.23313999999999999</v>
      </c>
      <c r="F338" s="1249"/>
      <c r="G338" s="1249"/>
      <c r="H338" s="1249"/>
    </row>
    <row r="339" spans="2:8" x14ac:dyDescent="0.35">
      <c r="B339" s="158" t="s">
        <v>2140</v>
      </c>
      <c r="C339" s="158" t="s">
        <v>563</v>
      </c>
      <c r="D339" s="158" t="s">
        <v>1889</v>
      </c>
      <c r="E339" s="1249">
        <v>0.28499999999999998</v>
      </c>
      <c r="F339" s="1249"/>
      <c r="G339" s="1249"/>
      <c r="H339" s="1249"/>
    </row>
    <row r="340" spans="2:8" x14ac:dyDescent="0.35">
      <c r="B340" s="158" t="s">
        <v>2141</v>
      </c>
      <c r="C340" s="158" t="s">
        <v>563</v>
      </c>
      <c r="D340" s="158" t="s">
        <v>1889</v>
      </c>
      <c r="E340" s="1249">
        <v>0.158</v>
      </c>
      <c r="F340" s="1249"/>
      <c r="G340" s="1249"/>
      <c r="H340" s="1249"/>
    </row>
    <row r="341" spans="2:8" x14ac:dyDescent="0.35">
      <c r="B341" s="158" t="s">
        <v>2142</v>
      </c>
      <c r="C341" s="158" t="s">
        <v>563</v>
      </c>
      <c r="D341" s="158" t="s">
        <v>1889</v>
      </c>
      <c r="E341" s="1249">
        <v>0.50600000000000001</v>
      </c>
      <c r="F341" s="1249"/>
      <c r="G341" s="1249"/>
      <c r="H341" s="1249"/>
    </row>
    <row r="342" spans="2:8" x14ac:dyDescent="0.35">
      <c r="B342" s="158" t="s">
        <v>2143</v>
      </c>
      <c r="C342" s="158" t="s">
        <v>563</v>
      </c>
      <c r="D342" s="158" t="s">
        <v>1889</v>
      </c>
      <c r="E342" s="1249">
        <v>0.371</v>
      </c>
      <c r="F342" s="1249"/>
      <c r="G342" s="1249"/>
      <c r="H342" s="1249"/>
    </row>
    <row r="343" spans="2:8" x14ac:dyDescent="0.35">
      <c r="B343" s="158" t="s">
        <v>2144</v>
      </c>
      <c r="C343" s="158" t="s">
        <v>563</v>
      </c>
      <c r="D343" s="158" t="s">
        <v>1889</v>
      </c>
      <c r="E343" s="1249">
        <v>0.34499999999999997</v>
      </c>
      <c r="F343" s="1249"/>
      <c r="G343" s="1249"/>
      <c r="H343" s="1249"/>
    </row>
    <row r="344" spans="2:8" x14ac:dyDescent="0.35">
      <c r="B344" s="158" t="s">
        <v>2145</v>
      </c>
      <c r="C344" s="158" t="s">
        <v>563</v>
      </c>
      <c r="D344" s="158" t="s">
        <v>1889</v>
      </c>
      <c r="E344" s="1249">
        <v>0.35599999999999998</v>
      </c>
      <c r="F344" s="1249"/>
      <c r="G344" s="1249"/>
      <c r="H344" s="1249"/>
    </row>
    <row r="345" spans="2:8" x14ac:dyDescent="0.35">
      <c r="B345" s="158" t="s">
        <v>2146</v>
      </c>
      <c r="C345" s="158" t="s">
        <v>563</v>
      </c>
      <c r="D345" s="158" t="s">
        <v>1889</v>
      </c>
      <c r="E345" s="1249">
        <v>0.375</v>
      </c>
      <c r="F345" s="1249"/>
      <c r="G345" s="1249"/>
      <c r="H345" s="1249"/>
    </row>
    <row r="346" spans="2:8" x14ac:dyDescent="0.35">
      <c r="B346" s="158" t="s">
        <v>2147</v>
      </c>
      <c r="C346" s="158" t="s">
        <v>563</v>
      </c>
      <c r="D346" s="158" t="s">
        <v>1889</v>
      </c>
      <c r="E346" s="1249">
        <v>0.625</v>
      </c>
      <c r="F346" s="1249"/>
      <c r="G346" s="1249"/>
      <c r="H346" s="1249"/>
    </row>
    <row r="347" spans="2:8" x14ac:dyDescent="0.35">
      <c r="B347" s="158" t="s">
        <v>2148</v>
      </c>
      <c r="C347" s="158" t="s">
        <v>563</v>
      </c>
      <c r="D347" s="158" t="s">
        <v>1889</v>
      </c>
      <c r="E347" s="1249">
        <v>0.63600000000000001</v>
      </c>
      <c r="F347" s="1249"/>
      <c r="G347" s="1249"/>
      <c r="H347" s="1249"/>
    </row>
    <row r="348" spans="2:8" x14ac:dyDescent="0.35">
      <c r="B348" s="158" t="s">
        <v>2149</v>
      </c>
      <c r="C348" s="158" t="s">
        <v>563</v>
      </c>
      <c r="D348" s="158" t="s">
        <v>1889</v>
      </c>
      <c r="E348" s="1249">
        <v>9.9000000000000005E-2</v>
      </c>
      <c r="F348" s="1249"/>
      <c r="G348" s="1249"/>
      <c r="H348" s="1249"/>
    </row>
    <row r="349" spans="2:8" x14ac:dyDescent="0.35">
      <c r="B349" s="158" t="s">
        <v>2150</v>
      </c>
      <c r="C349" s="158" t="s">
        <v>563</v>
      </c>
      <c r="D349" s="158" t="s">
        <v>1889</v>
      </c>
      <c r="E349" s="1249">
        <v>0.64800000000000002</v>
      </c>
      <c r="F349" s="1249"/>
      <c r="G349" s="1249"/>
      <c r="H349" s="1249"/>
    </row>
    <row r="350" spans="2:8" x14ac:dyDescent="0.35">
      <c r="B350" s="158" t="s">
        <v>2151</v>
      </c>
      <c r="C350" s="158" t="s">
        <v>563</v>
      </c>
      <c r="D350" s="158" t="s">
        <v>1889</v>
      </c>
      <c r="E350" s="1249">
        <v>0.88300000000000001</v>
      </c>
      <c r="F350" s="1249"/>
      <c r="G350" s="1249"/>
      <c r="H350" s="1249"/>
    </row>
    <row r="351" spans="2:8" x14ac:dyDescent="0.35">
      <c r="B351" s="158" t="s">
        <v>2152</v>
      </c>
      <c r="C351" s="158" t="s">
        <v>563</v>
      </c>
      <c r="D351" s="158" t="s">
        <v>2153</v>
      </c>
      <c r="E351" s="1249">
        <v>0.28717695652173908</v>
      </c>
      <c r="F351" s="1249"/>
      <c r="G351" s="1249"/>
      <c r="H351" s="1249"/>
    </row>
    <row r="352" spans="2:8" x14ac:dyDescent="0.35">
      <c r="B352" s="158" t="s">
        <v>2154</v>
      </c>
      <c r="C352" s="158" t="s">
        <v>563</v>
      </c>
      <c r="D352" s="158" t="s">
        <v>2153</v>
      </c>
      <c r="E352" s="1249">
        <v>0.40882758620689652</v>
      </c>
      <c r="F352" s="1249"/>
      <c r="G352" s="1249"/>
      <c r="H352" s="1249"/>
    </row>
    <row r="353" spans="2:8" x14ac:dyDescent="0.35">
      <c r="B353" s="158" t="s">
        <v>2155</v>
      </c>
      <c r="C353" s="158" t="s">
        <v>563</v>
      </c>
      <c r="D353" s="158" t="s">
        <v>2153</v>
      </c>
      <c r="E353" s="1249">
        <v>0.45352830188679244</v>
      </c>
      <c r="F353" s="1249"/>
      <c r="G353" s="1249"/>
      <c r="H353" s="1249"/>
    </row>
    <row r="354" spans="2:8" x14ac:dyDescent="0.35">
      <c r="B354" s="158" t="s">
        <v>2156</v>
      </c>
      <c r="C354" s="158" t="s">
        <v>563</v>
      </c>
      <c r="D354" s="158" t="s">
        <v>2153</v>
      </c>
      <c r="E354" s="1249">
        <v>0.50446666666666662</v>
      </c>
      <c r="F354" s="1249"/>
      <c r="G354" s="1249"/>
      <c r="H354" s="1249"/>
    </row>
    <row r="355" spans="2:8" x14ac:dyDescent="0.35">
      <c r="B355" s="158" t="s">
        <v>2157</v>
      </c>
      <c r="C355" s="158" t="s">
        <v>563</v>
      </c>
      <c r="D355" s="158" t="s">
        <v>2153</v>
      </c>
      <c r="E355" s="1249">
        <v>0.41178787878787887</v>
      </c>
      <c r="F355" s="1249"/>
      <c r="G355" s="1249"/>
      <c r="H355" s="1249"/>
    </row>
    <row r="356" spans="2:8" x14ac:dyDescent="0.35">
      <c r="B356" s="158" t="s">
        <v>2158</v>
      </c>
      <c r="C356" s="158" t="s">
        <v>563</v>
      </c>
      <c r="D356" s="158" t="s">
        <v>2153</v>
      </c>
      <c r="E356" s="1249">
        <v>0.42551111111111112</v>
      </c>
      <c r="F356" s="1249"/>
      <c r="G356" s="1249"/>
      <c r="H356" s="1249"/>
    </row>
    <row r="357" spans="2:8" x14ac:dyDescent="0.35">
      <c r="B357" s="158" t="s">
        <v>2159</v>
      </c>
      <c r="C357" s="158" t="s">
        <v>563</v>
      </c>
      <c r="D357" s="158" t="s">
        <v>2153</v>
      </c>
      <c r="E357" s="1249">
        <v>0.45802941176470591</v>
      </c>
      <c r="F357" s="1249"/>
      <c r="G357" s="1249"/>
      <c r="H357" s="1249"/>
    </row>
    <row r="358" spans="2:8" x14ac:dyDescent="0.35">
      <c r="B358" s="158" t="s">
        <v>2160</v>
      </c>
      <c r="C358" s="158" t="s">
        <v>563</v>
      </c>
      <c r="D358" s="158" t="s">
        <v>2153</v>
      </c>
      <c r="E358" s="1249">
        <v>0.47375438596491221</v>
      </c>
      <c r="F358" s="1249"/>
      <c r="G358" s="1249"/>
      <c r="H358" s="1249"/>
    </row>
    <row r="359" spans="2:8" x14ac:dyDescent="0.35">
      <c r="B359" s="158" t="s">
        <v>2161</v>
      </c>
      <c r="C359" s="158" t="s">
        <v>563</v>
      </c>
      <c r="D359" s="158" t="s">
        <v>2153</v>
      </c>
      <c r="E359" s="1249">
        <v>0.3056175384615385</v>
      </c>
      <c r="F359" s="1249"/>
      <c r="G359" s="1249"/>
      <c r="H359" s="1249"/>
    </row>
    <row r="360" spans="2:8" x14ac:dyDescent="0.35">
      <c r="B360" s="158" t="s">
        <v>2162</v>
      </c>
      <c r="C360" s="159" t="s">
        <v>563</v>
      </c>
      <c r="D360" s="158"/>
      <c r="E360" s="158"/>
      <c r="F360" s="158"/>
      <c r="G360" s="158"/>
      <c r="H360" s="158"/>
    </row>
    <row r="361" spans="2:8" x14ac:dyDescent="0.35">
      <c r="B361" s="158" t="s">
        <v>2163</v>
      </c>
      <c r="C361" s="159" t="s">
        <v>563</v>
      </c>
      <c r="D361" s="158"/>
      <c r="E361" s="121"/>
      <c r="F361" s="121"/>
      <c r="G361" s="121"/>
      <c r="H361" s="121"/>
    </row>
    <row r="362" spans="2:8" x14ac:dyDescent="0.35">
      <c r="B362" s="163" t="s">
        <v>664</v>
      </c>
      <c r="C362" s="164" t="s">
        <v>575</v>
      </c>
      <c r="D362" s="163" t="str">
        <f>B362&amp;"|"&amp;C362</f>
        <v>Petrol (vehicle)|Litres (l)</v>
      </c>
      <c r="E362" s="1274">
        <f>M82</f>
        <v>2.31467</v>
      </c>
      <c r="F362" s="1274">
        <f>N82</f>
        <v>2.3017599999999998</v>
      </c>
      <c r="G362" s="1274">
        <f>O82</f>
        <v>6.7999999999999996E-3</v>
      </c>
      <c r="H362" s="160">
        <f>P82</f>
        <v>6.11E-3</v>
      </c>
    </row>
    <row r="363" spans="2:8" x14ac:dyDescent="0.35">
      <c r="B363" s="163" t="s">
        <v>664</v>
      </c>
      <c r="C363" s="161" t="s">
        <v>674</v>
      </c>
      <c r="D363" s="158" t="str">
        <f t="shared" ref="D363:D379" si="124">B363&amp;"|"&amp;C363</f>
        <v>Petrol (vehicle)|Gallons (Ga)</v>
      </c>
      <c r="E363" s="1283">
        <f>E362*'Unit Conversions'!D37</f>
        <v>10.522698154607502</v>
      </c>
      <c r="F363" s="1283">
        <f>F362*'Unit Conversions'!D37</f>
        <v>10.464008132627701</v>
      </c>
      <c r="G363" s="1283">
        <f>G362*'Unit Conversions'!D37</f>
        <v>3.0913412042032344E-2</v>
      </c>
      <c r="H363" s="1380">
        <f>H362*'Unit Conversions'!D37</f>
        <v>2.7776609937767299E-2</v>
      </c>
    </row>
    <row r="364" spans="2:8" x14ac:dyDescent="0.35">
      <c r="B364" s="163" t="s">
        <v>664</v>
      </c>
      <c r="C364" s="161" t="s">
        <v>563</v>
      </c>
      <c r="D364" s="158" t="str">
        <f t="shared" si="124"/>
        <v>Petrol (vehicle)|Kilowatt hours (KWh)</v>
      </c>
      <c r="E364" s="169" t="s">
        <v>2164</v>
      </c>
      <c r="F364" s="169" t="s">
        <v>2164</v>
      </c>
      <c r="G364" s="169" t="s">
        <v>2164</v>
      </c>
      <c r="H364" s="158" t="s">
        <v>2164</v>
      </c>
    </row>
    <row r="365" spans="2:8" x14ac:dyDescent="0.35">
      <c r="B365" s="158" t="s">
        <v>668</v>
      </c>
      <c r="C365" s="159" t="s">
        <v>575</v>
      </c>
      <c r="D365" s="158" t="str">
        <f t="shared" si="124"/>
        <v>Diesel (vehicle)|Litres (l)</v>
      </c>
      <c r="E365" s="1276">
        <f>M58</f>
        <v>2.6878700000000002</v>
      </c>
      <c r="F365" s="1276">
        <f>N58</f>
        <v>2.6524200000000002</v>
      </c>
      <c r="G365" s="1276">
        <f>O58</f>
        <v>2.5000000000000001E-4</v>
      </c>
      <c r="H365" s="160">
        <f>P58</f>
        <v>3.5200000000000002E-2</v>
      </c>
    </row>
    <row r="366" spans="2:8" x14ac:dyDescent="0.35">
      <c r="B366" s="158" t="s">
        <v>668</v>
      </c>
      <c r="C366" s="161" t="s">
        <v>674</v>
      </c>
      <c r="D366" s="158" t="str">
        <f t="shared" si="124"/>
        <v>Diesel (vehicle)|Gallons (Ga)</v>
      </c>
      <c r="E366" s="1283">
        <f>E365*'Unit Conversions'!D37</f>
        <v>12.219298944914337</v>
      </c>
      <c r="F366" s="1283">
        <f>F365*'Unit Conversions'!D37</f>
        <v>12.058140054195212</v>
      </c>
      <c r="G366" s="1283">
        <f>G365*'Unit Conversions'!D37</f>
        <v>1.1365225015453069E-3</v>
      </c>
      <c r="H366" s="1380">
        <f>H365*'Unit Conversions'!D37</f>
        <v>0.16002236821757923</v>
      </c>
    </row>
    <row r="367" spans="2:8" x14ac:dyDescent="0.35">
      <c r="B367" s="158" t="s">
        <v>668</v>
      </c>
      <c r="C367" s="161" t="s">
        <v>563</v>
      </c>
      <c r="D367" s="158" t="str">
        <f t="shared" si="124"/>
        <v>Diesel (vehicle)|Kilowatt hours (KWh)</v>
      </c>
      <c r="E367" s="169" t="s">
        <v>2164</v>
      </c>
      <c r="F367" s="169" t="s">
        <v>2164</v>
      </c>
      <c r="G367" s="169" t="s">
        <v>2164</v>
      </c>
      <c r="H367" s="158" t="s">
        <v>2164</v>
      </c>
    </row>
    <row r="368" spans="2:8" x14ac:dyDescent="0.35">
      <c r="B368" s="158" t="s">
        <v>671</v>
      </c>
      <c r="C368" s="159" t="s">
        <v>575</v>
      </c>
      <c r="D368" s="158" t="str">
        <f t="shared" si="124"/>
        <v>LPG (vehicle)|Litres (l)</v>
      </c>
      <c r="E368" s="1276">
        <f>M20</f>
        <v>1.5553699999999999</v>
      </c>
      <c r="F368" s="1276">
        <f>N20</f>
        <v>1.55325</v>
      </c>
      <c r="G368" s="1276">
        <f>O20</f>
        <v>1.1299999999999999E-3</v>
      </c>
      <c r="H368" s="160">
        <f>P20</f>
        <v>9.8999999999999999E-4</v>
      </c>
    </row>
    <row r="369" spans="2:8" x14ac:dyDescent="0.35">
      <c r="B369" s="158" t="s">
        <v>671</v>
      </c>
      <c r="C369" s="161" t="s">
        <v>674</v>
      </c>
      <c r="D369" s="158" t="str">
        <f t="shared" si="124"/>
        <v>LPG (vehicle)|Gallons (Ga)</v>
      </c>
      <c r="E369" s="1275">
        <f>E368*'Unit Conversions'!D37</f>
        <v>7.070852012914095</v>
      </c>
      <c r="F369" s="1275">
        <f>F368*'Unit Conversions'!D37</f>
        <v>7.0612143021009919</v>
      </c>
      <c r="G369" s="1275">
        <f>G368*'Unit Conversions'!D37</f>
        <v>5.1370817069847866E-3</v>
      </c>
      <c r="H369" s="1381">
        <f>H368*'Unit Conversions'!D37</f>
        <v>4.5006291061194153E-3</v>
      </c>
    </row>
    <row r="370" spans="2:8" x14ac:dyDescent="0.35">
      <c r="B370" s="158" t="s">
        <v>671</v>
      </c>
      <c r="C370" s="161" t="s">
        <v>563</v>
      </c>
      <c r="D370" s="158" t="str">
        <f t="shared" si="124"/>
        <v>LPG (vehicle)|Kilowatt hours (KWh)</v>
      </c>
      <c r="E370" s="169" t="s">
        <v>2164</v>
      </c>
      <c r="F370" s="169" t="s">
        <v>2164</v>
      </c>
      <c r="G370" s="169" t="s">
        <v>2164</v>
      </c>
      <c r="H370" s="158" t="s">
        <v>2164</v>
      </c>
    </row>
    <row r="371" spans="2:8" x14ac:dyDescent="0.35">
      <c r="B371" s="158" t="s">
        <v>675</v>
      </c>
      <c r="C371" s="159" t="s">
        <v>575</v>
      </c>
      <c r="D371" s="158" t="str">
        <f t="shared" si="124"/>
        <v>Biodiesel (vehicle)|Litres (l)</v>
      </c>
      <c r="E371" s="1276">
        <f>U10</f>
        <v>0.1658</v>
      </c>
      <c r="F371" s="1276">
        <f t="shared" ref="F371:H371" si="125">V10</f>
        <v>0</v>
      </c>
      <c r="G371" s="1276">
        <f t="shared" si="125"/>
        <v>0</v>
      </c>
      <c r="H371" s="160">
        <f t="shared" si="125"/>
        <v>0</v>
      </c>
    </row>
    <row r="372" spans="2:8" x14ac:dyDescent="0.35">
      <c r="B372" s="158" t="s">
        <v>675</v>
      </c>
      <c r="C372" s="161" t="s">
        <v>674</v>
      </c>
      <c r="D372" s="158" t="str">
        <f t="shared" si="124"/>
        <v>Biodiesel (vehicle)|Gallons (Ga)</v>
      </c>
      <c r="E372" s="1275">
        <f>E371*'Unit Conversions'!D37</f>
        <v>0.75374172302484754</v>
      </c>
      <c r="F372" s="1275">
        <f>F371*'Unit Conversions'!D37</f>
        <v>0</v>
      </c>
      <c r="G372" s="1275">
        <f>G371*'Unit Conversions'!D37</f>
        <v>0</v>
      </c>
      <c r="H372" s="1381">
        <f>H371*'Unit Conversions'!D37</f>
        <v>0</v>
      </c>
    </row>
    <row r="373" spans="2:8" x14ac:dyDescent="0.35">
      <c r="B373" s="158" t="s">
        <v>675</v>
      </c>
      <c r="C373" s="161" t="s">
        <v>563</v>
      </c>
      <c r="D373" s="158" t="str">
        <f t="shared" si="124"/>
        <v>Biodiesel (vehicle)|Kilowatt hours (KWh)</v>
      </c>
      <c r="E373" s="169" t="s">
        <v>2164</v>
      </c>
      <c r="F373" s="169" t="s">
        <v>2164</v>
      </c>
      <c r="G373" s="169" t="s">
        <v>2164</v>
      </c>
      <c r="H373" s="158" t="s">
        <v>2164</v>
      </c>
    </row>
    <row r="374" spans="2:8" x14ac:dyDescent="0.35">
      <c r="B374" s="158" t="s">
        <v>678</v>
      </c>
      <c r="C374" s="159" t="s">
        <v>575</v>
      </c>
      <c r="D374" s="158" t="str">
        <f t="shared" si="124"/>
        <v>Electricity (vehicle)|Litres (l)</v>
      </c>
      <c r="E374" s="1282" t="s">
        <v>2165</v>
      </c>
      <c r="F374" s="1282" t="s">
        <v>2165</v>
      </c>
      <c r="G374" s="1282" t="s">
        <v>2165</v>
      </c>
      <c r="H374" s="121" t="s">
        <v>2165</v>
      </c>
    </row>
    <row r="375" spans="2:8" x14ac:dyDescent="0.35">
      <c r="B375" s="158" t="s">
        <v>678</v>
      </c>
      <c r="C375" s="161" t="s">
        <v>674</v>
      </c>
      <c r="D375" s="158" t="str">
        <f t="shared" si="124"/>
        <v>Electricity (vehicle)|Gallons (Ga)</v>
      </c>
      <c r="E375" s="1282" t="s">
        <v>2165</v>
      </c>
      <c r="F375" s="1282" t="s">
        <v>2165</v>
      </c>
      <c r="G375" s="1282" t="s">
        <v>2165</v>
      </c>
      <c r="H375" s="121" t="s">
        <v>2165</v>
      </c>
    </row>
    <row r="376" spans="2:8" x14ac:dyDescent="0.35">
      <c r="B376" s="158" t="s">
        <v>678</v>
      </c>
      <c r="C376" s="161" t="s">
        <v>563</v>
      </c>
      <c r="D376" s="158" t="str">
        <f t="shared" si="124"/>
        <v>Electricity (vehicle)|Kilowatt hours (KWh)</v>
      </c>
      <c r="E376" s="1282" t="e">
        <f>VLOOKUP('Cover Sheet'!$B$15,'Carbon factors'!B116:E361,4,0)</f>
        <v>#N/A</v>
      </c>
      <c r="F376" s="1282"/>
      <c r="G376" s="1282"/>
      <c r="H376" s="121"/>
    </row>
    <row r="377" spans="2:8" x14ac:dyDescent="0.35">
      <c r="B377" s="158" t="s">
        <v>681</v>
      </c>
      <c r="C377" s="159" t="s">
        <v>575</v>
      </c>
      <c r="D377" s="158" t="str">
        <f t="shared" si="124"/>
        <v>Other fuel (vehicle)|Litres (l)</v>
      </c>
      <c r="E377" s="169" t="s">
        <v>2166</v>
      </c>
      <c r="F377" s="169" t="s">
        <v>2166</v>
      </c>
      <c r="G377" s="169" t="s">
        <v>2166</v>
      </c>
      <c r="H377" s="158" t="s">
        <v>2166</v>
      </c>
    </row>
    <row r="378" spans="2:8" x14ac:dyDescent="0.35">
      <c r="B378" s="158" t="s">
        <v>681</v>
      </c>
      <c r="C378" s="161" t="s">
        <v>674</v>
      </c>
      <c r="D378" s="158" t="str">
        <f t="shared" si="124"/>
        <v>Other fuel (vehicle)|Gallons (Ga)</v>
      </c>
      <c r="E378" s="169" t="s">
        <v>2166</v>
      </c>
      <c r="F378" s="169" t="s">
        <v>2166</v>
      </c>
      <c r="G378" s="169" t="s">
        <v>2166</v>
      </c>
      <c r="H378" s="158" t="s">
        <v>2166</v>
      </c>
    </row>
    <row r="379" spans="2:8" x14ac:dyDescent="0.35">
      <c r="B379" s="169" t="s">
        <v>681</v>
      </c>
      <c r="C379" s="161" t="s">
        <v>563</v>
      </c>
      <c r="D379" s="158" t="str">
        <f t="shared" si="124"/>
        <v>Other fuel (vehicle)|Kilowatt hours (KWh)</v>
      </c>
      <c r="E379" s="169" t="s">
        <v>2166</v>
      </c>
      <c r="F379" s="169" t="s">
        <v>2166</v>
      </c>
      <c r="G379" s="169" t="s">
        <v>2166</v>
      </c>
      <c r="H379" s="158" t="s">
        <v>2166</v>
      </c>
    </row>
  </sheetData>
  <sheetProtection algorithmName="SHA-512" hashValue="V1IHz0BIrqrO6uRtjSnVIjYsKuYZKiHM3e6BRuHsYCW8w5aZZgexMUBE8iaMnJfTDGemo84oZVY2QGMeraGT4g==" saltValue="8LSkaOrpoR/YujqKv+IGkQ==" spinCount="100000" sheet="1" objects="1" scenarios="1"/>
  <autoFilter ref="EG6:EK46" xr:uid="{6440DB00-4B7C-42D3-A9C8-A3100D534540}"/>
  <mergeCells count="171">
    <mergeCell ref="EP121:EP149"/>
    <mergeCell ref="EQ121:EQ127"/>
    <mergeCell ref="EQ128:EQ134"/>
    <mergeCell ref="EQ135:EQ141"/>
    <mergeCell ref="EQ142:EQ144"/>
    <mergeCell ref="EQ145:EQ147"/>
    <mergeCell ref="DO105:DO112"/>
    <mergeCell ref="FA22:FD22"/>
    <mergeCell ref="FE22:FH22"/>
    <mergeCell ref="FA50:FD50"/>
    <mergeCell ref="FE50:FH50"/>
    <mergeCell ref="ES78:EV78"/>
    <mergeCell ref="EW78:EZ78"/>
    <mergeCell ref="EP80:EP83"/>
    <mergeCell ref="EP93:EP116"/>
    <mergeCell ref="EQ93:EQ99"/>
    <mergeCell ref="EQ100:EQ105"/>
    <mergeCell ref="EQ106:EQ110"/>
    <mergeCell ref="EQ111:EQ113"/>
    <mergeCell ref="EQ114:EQ116"/>
    <mergeCell ref="ES50:EV50"/>
    <mergeCell ref="EW50:EZ50"/>
    <mergeCell ref="EP52:EP75"/>
    <mergeCell ref="EQ52:EQ54"/>
    <mergeCell ref="EQ55:EQ57"/>
    <mergeCell ref="EQ58:EQ60"/>
    <mergeCell ref="EQ61:EQ63"/>
    <mergeCell ref="EQ64:EQ66"/>
    <mergeCell ref="EQ67:EQ69"/>
    <mergeCell ref="EQ70:EQ72"/>
    <mergeCell ref="EQ73:EQ75"/>
    <mergeCell ref="EP24:EP47"/>
    <mergeCell ref="EQ24:EQ26"/>
    <mergeCell ref="EQ27:EQ29"/>
    <mergeCell ref="EQ30:EQ32"/>
    <mergeCell ref="EQ33:EQ35"/>
    <mergeCell ref="EQ36:EQ38"/>
    <mergeCell ref="EQ39:EQ41"/>
    <mergeCell ref="EQ42:EQ44"/>
    <mergeCell ref="EQ45:EQ47"/>
    <mergeCell ref="ES6:EV6"/>
    <mergeCell ref="EW6:EZ6"/>
    <mergeCell ref="EP8:EP19"/>
    <mergeCell ref="EQ8:EQ10"/>
    <mergeCell ref="EQ11:EQ13"/>
    <mergeCell ref="EQ14:EQ16"/>
    <mergeCell ref="EQ17:EQ19"/>
    <mergeCell ref="ES22:EV22"/>
    <mergeCell ref="EW22:EZ22"/>
    <mergeCell ref="K49:K52"/>
    <mergeCell ref="K53:K56"/>
    <mergeCell ref="K57:K60"/>
    <mergeCell ref="K89:K92"/>
    <mergeCell ref="K85:K88"/>
    <mergeCell ref="K93:K96"/>
    <mergeCell ref="BO30:BO31"/>
    <mergeCell ref="BO34:BO36"/>
    <mergeCell ref="CH38:CK38"/>
    <mergeCell ref="CF32:CF33"/>
    <mergeCell ref="CF34:CF35"/>
    <mergeCell ref="AK3:AN4"/>
    <mergeCell ref="BB6:BE6"/>
    <mergeCell ref="AX8:AX21"/>
    <mergeCell ref="AY9:AY11"/>
    <mergeCell ref="AY12:AY16"/>
    <mergeCell ref="AY17:AY21"/>
    <mergeCell ref="AP3:AS4"/>
    <mergeCell ref="B3:E4"/>
    <mergeCell ref="Y3:AB4"/>
    <mergeCell ref="R3:W4"/>
    <mergeCell ref="J3:O4"/>
    <mergeCell ref="AX3:BC4"/>
    <mergeCell ref="A7:A42"/>
    <mergeCell ref="A43:A70"/>
    <mergeCell ref="K97:K100"/>
    <mergeCell ref="K101:K104"/>
    <mergeCell ref="K105:K108"/>
    <mergeCell ref="J112:J144"/>
    <mergeCell ref="K112:K114"/>
    <mergeCell ref="K115:K117"/>
    <mergeCell ref="K118:K120"/>
    <mergeCell ref="K126:K128"/>
    <mergeCell ref="K139:K141"/>
    <mergeCell ref="A71:A114"/>
    <mergeCell ref="A116:A324"/>
    <mergeCell ref="J147:J148"/>
    <mergeCell ref="K142:K144"/>
    <mergeCell ref="K61:K64"/>
    <mergeCell ref="K65:K68"/>
    <mergeCell ref="K69:K72"/>
    <mergeCell ref="K73:K76"/>
    <mergeCell ref="K77:K80"/>
    <mergeCell ref="K81:K84"/>
    <mergeCell ref="J41:J108"/>
    <mergeCell ref="K41:K44"/>
    <mergeCell ref="K45:K48"/>
    <mergeCell ref="CL18:CO18"/>
    <mergeCell ref="BO3:BT4"/>
    <mergeCell ref="BG3:BL4"/>
    <mergeCell ref="BP16:BP17"/>
    <mergeCell ref="BP18:BP19"/>
    <mergeCell ref="BG8:BG10"/>
    <mergeCell ref="BP20:BP21"/>
    <mergeCell ref="BO24:BO27"/>
    <mergeCell ref="BP24:BP25"/>
    <mergeCell ref="BP26:BP27"/>
    <mergeCell ref="BO16:BO21"/>
    <mergeCell ref="BR6:BU6"/>
    <mergeCell ref="BP8:BP9"/>
    <mergeCell ref="BP10:BP11"/>
    <mergeCell ref="BP12:BP13"/>
    <mergeCell ref="BO8:BO13"/>
    <mergeCell ref="DB6:DE6"/>
    <mergeCell ref="DF6:DI6"/>
    <mergeCell ref="CY8:CY15"/>
    <mergeCell ref="CZ8:CZ9"/>
    <mergeCell ref="CZ10:CZ11"/>
    <mergeCell ref="CZ12:CZ13"/>
    <mergeCell ref="CZ14:CZ15"/>
    <mergeCell ref="CH6:CK6"/>
    <mergeCell ref="CL6:CO6"/>
    <mergeCell ref="CP6:CS6"/>
    <mergeCell ref="CT6:CW6"/>
    <mergeCell ref="DO117:DO119"/>
    <mergeCell ref="DO7:DO36"/>
    <mergeCell ref="DO41:DO49"/>
    <mergeCell ref="DK7:DK36"/>
    <mergeCell ref="DK37:DK45"/>
    <mergeCell ref="CT38:CW38"/>
    <mergeCell ref="CE40:CE55"/>
    <mergeCell ref="CF40:CF41"/>
    <mergeCell ref="CF42:CF43"/>
    <mergeCell ref="CF44:CF45"/>
    <mergeCell ref="CF46:CF47"/>
    <mergeCell ref="CF48:CF49"/>
    <mergeCell ref="CF50:CF51"/>
    <mergeCell ref="CF52:CF53"/>
    <mergeCell ref="CF54:CF55"/>
    <mergeCell ref="CP18:CS18"/>
    <mergeCell ref="CT18:CW18"/>
    <mergeCell ref="CE20:CE35"/>
    <mergeCell ref="CF20:CF21"/>
    <mergeCell ref="CF22:CF23"/>
    <mergeCell ref="CF24:CF25"/>
    <mergeCell ref="CF26:CF27"/>
    <mergeCell ref="CE8:CE15"/>
    <mergeCell ref="CF8:CF9"/>
    <mergeCell ref="DY24:DY27"/>
    <mergeCell ref="DY31:DY39"/>
    <mergeCell ref="CF28:CF29"/>
    <mergeCell ref="CF30:CF31"/>
    <mergeCell ref="DK46:DK65"/>
    <mergeCell ref="DK66:DK69"/>
    <mergeCell ref="DK70:DK84"/>
    <mergeCell ref="DK85:DK92"/>
    <mergeCell ref="DK93:DK95"/>
    <mergeCell ref="DO54:DO73"/>
    <mergeCell ref="DO78:DO81"/>
    <mergeCell ref="DO86:DO100"/>
    <mergeCell ref="CY20:CY27"/>
    <mergeCell ref="CZ20:CZ21"/>
    <mergeCell ref="CZ22:CZ23"/>
    <mergeCell ref="CZ24:CZ25"/>
    <mergeCell ref="CZ26:CZ27"/>
    <mergeCell ref="DY8:DY20"/>
    <mergeCell ref="CL38:CO38"/>
    <mergeCell ref="CP38:CS38"/>
    <mergeCell ref="CF10:CF11"/>
    <mergeCell ref="CF12:CF13"/>
    <mergeCell ref="CF14:CF15"/>
    <mergeCell ref="CH18:CK18"/>
  </mergeCells>
  <phoneticPr fontId="10" type="noConversion"/>
  <conditionalFormatting sqref="CH17:CX17">
    <cfRule type="expression" dxfId="6" priority="7" stopIfTrue="1">
      <formula>NOT(CH17="")</formula>
    </cfRule>
  </conditionalFormatting>
  <conditionalFormatting sqref="CH37:CX37">
    <cfRule type="expression" dxfId="5" priority="6" stopIfTrue="1">
      <formula>NOT(CH37="")</formula>
    </cfRule>
  </conditionalFormatting>
  <conditionalFormatting sqref="ES21:EZ21">
    <cfRule type="expression" dxfId="4" priority="5" stopIfTrue="1">
      <formula>NOT(ES21="")</formula>
    </cfRule>
  </conditionalFormatting>
  <conditionalFormatting sqref="ES49:EZ49">
    <cfRule type="expression" dxfId="3" priority="4" stopIfTrue="1">
      <formula>NOT(ES49="")</formula>
    </cfRule>
  </conditionalFormatting>
  <conditionalFormatting sqref="ES77:EZ77">
    <cfRule type="expression" dxfId="2" priority="3" stopIfTrue="1">
      <formula>NOT(ES77="")</formula>
    </cfRule>
  </conditionalFormatting>
  <conditionalFormatting sqref="ET91:EW91">
    <cfRule type="expression" dxfId="1" priority="2" stopIfTrue="1">
      <formula>NOT(ET91="")</formula>
    </cfRule>
  </conditionalFormatting>
  <conditionalFormatting sqref="ET119:EW119">
    <cfRule type="expression" dxfId="0" priority="1" stopIfTrue="1">
      <formula>NOT(ET119="")</formula>
    </cfRule>
  </conditionalFormatting>
  <hyperlinks>
    <hyperlink ref="O1" r:id="rId1" xr:uid="{8FFD30A6-97DF-44C2-A207-84AECB7B0C19}"/>
    <hyperlink ref="W1" r:id="rId2" xr:uid="{4D71CFC6-2826-4F3D-90E0-409A2688B74E}"/>
    <hyperlink ref="BC1" r:id="rId3" xr:uid="{542E1B32-3B97-4549-B1E6-DC5341D3A373}"/>
    <hyperlink ref="BL1" r:id="rId4" xr:uid="{0D9C6DDA-DA60-4C75-B771-93F227828E71}"/>
    <hyperlink ref="BT1" r:id="rId5" xr:uid="{2129D151-EA5E-41B8-B4CF-E846FF79F0CC}"/>
    <hyperlink ref="CJ1" r:id="rId6" xr:uid="{910912D8-A204-485B-9EBA-5ABDDC424CCA}"/>
    <hyperlink ref="DD1" r:id="rId7" xr:uid="{C121C3CC-3221-4C7C-8F29-CB7C6784D42D}"/>
    <hyperlink ref="DT1" r:id="rId8" xr:uid="{F0B2795A-1C06-4C31-B5F4-44A14717A049}"/>
    <hyperlink ref="ED1" r:id="rId9" xr:uid="{D59BC195-CA81-4776-AA06-A618695232B3}"/>
    <hyperlink ref="D124" r:id="rId10" display="CDM Combined Margin EF average" xr:uid="{56E0E15D-076A-45BF-B018-B5AD9BC31CF1}"/>
    <hyperlink ref="D125" r:id="rId11" display="CDM Combined Margin EF average" xr:uid="{78CBBE11-AED4-4BCD-B3A7-4AAD6E9FED95}"/>
    <hyperlink ref="D129" r:id="rId12" display="CDM Combined Margin EF average" xr:uid="{A2741293-4D30-4009-907D-019ADA742192}"/>
    <hyperlink ref="D130" r:id="rId13" display="CDM Combined Margin EF average" xr:uid="{147CF9A5-15F9-4392-891C-DE03567B9F9B}"/>
    <hyperlink ref="D131" r:id="rId14" display="CDM Combined Margin EF average" xr:uid="{247B7088-8802-4632-98AB-080DE5F698EC}"/>
    <hyperlink ref="D149" r:id="rId15" display="CDM Combined Margin EF average" xr:uid="{D8B745E7-F194-4C32-A432-F68B52649EE8}"/>
  </hyperlinks>
  <pageMargins left="0.7" right="0.7" top="0.75" bottom="0.75" header="0.3" footer="0.3"/>
  <legacyDrawing r:id="rId1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25F01-0017-45D6-B96E-9DFC126E2DAE}">
  <sheetPr codeName="Sheet19"/>
  <dimension ref="A1:AD62"/>
  <sheetViews>
    <sheetView topLeftCell="B3" workbookViewId="0">
      <selection activeCell="G13" sqref="G13"/>
    </sheetView>
  </sheetViews>
  <sheetFormatPr defaultColWidth="8.81640625" defaultRowHeight="14.5" x14ac:dyDescent="0.35"/>
  <cols>
    <col min="1" max="1" width="6" bestFit="1" customWidth="1"/>
    <col min="2" max="2" width="20.81640625" bestFit="1" customWidth="1"/>
    <col min="3" max="3" width="37.453125" customWidth="1"/>
    <col min="4" max="4" width="10.7265625" customWidth="1"/>
    <col min="5" max="5" width="10.7265625" bestFit="1" customWidth="1"/>
    <col min="6" max="6" width="10.1796875" bestFit="1" customWidth="1"/>
    <col min="7" max="7" width="12" bestFit="1" customWidth="1"/>
    <col min="8" max="8" width="13.26953125" bestFit="1" customWidth="1"/>
    <col min="9" max="9" width="9.1796875"/>
    <col min="10" max="10" width="8" bestFit="1" customWidth="1"/>
    <col min="11" max="11" width="8.81640625" bestFit="1" customWidth="1"/>
    <col min="12" max="12" width="9.1796875"/>
    <col min="13" max="13" width="9.81640625" customWidth="1"/>
    <col min="14" max="14" width="10.26953125" customWidth="1"/>
    <col min="16" max="16" width="6.26953125" bestFit="1" customWidth="1"/>
  </cols>
  <sheetData>
    <row r="1" spans="1:30" ht="21" x14ac:dyDescent="0.5">
      <c r="A1" s="2003" t="s">
        <v>2167</v>
      </c>
      <c r="B1" s="2003"/>
      <c r="C1" s="2003"/>
      <c r="D1" s="2003"/>
      <c r="E1" s="2003"/>
      <c r="F1" s="2003"/>
      <c r="G1" s="20"/>
      <c r="H1" s="20"/>
      <c r="I1" s="20"/>
      <c r="J1" s="20"/>
      <c r="K1" s="20"/>
      <c r="L1" s="20"/>
      <c r="M1" s="20"/>
      <c r="N1" s="20"/>
      <c r="O1" s="20"/>
      <c r="P1" s="20"/>
      <c r="Q1" s="20"/>
      <c r="R1" s="20"/>
      <c r="S1" s="20"/>
      <c r="T1" s="20"/>
      <c r="U1" s="20"/>
      <c r="V1" s="20"/>
      <c r="W1" s="20"/>
      <c r="X1" s="20"/>
      <c r="Y1" s="20"/>
      <c r="Z1" s="20"/>
      <c r="AA1" s="20"/>
      <c r="AB1" s="20"/>
      <c r="AC1" s="20"/>
      <c r="AD1" s="20"/>
    </row>
    <row r="2" spans="1:30" x14ac:dyDescent="0.35">
      <c r="A2" s="4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row>
    <row r="3" spans="1:30" ht="15" thickBot="1" x14ac:dyDescent="0.4">
      <c r="A3" s="421"/>
      <c r="B3" s="421"/>
      <c r="C3" s="421"/>
      <c r="D3" s="421"/>
      <c r="E3" s="421"/>
      <c r="F3" s="421"/>
      <c r="G3" s="421"/>
      <c r="H3" s="421"/>
      <c r="I3" s="421"/>
      <c r="J3" s="421"/>
      <c r="K3" s="421"/>
      <c r="L3" s="421"/>
      <c r="M3" s="421"/>
      <c r="N3" s="421"/>
      <c r="O3" s="421"/>
      <c r="P3" s="422"/>
      <c r="Q3" s="421"/>
      <c r="R3" s="421"/>
      <c r="S3" s="421"/>
      <c r="T3" s="421"/>
      <c r="U3" s="421"/>
      <c r="V3" s="421"/>
      <c r="W3" s="421"/>
      <c r="X3" s="421"/>
      <c r="Y3" s="421"/>
      <c r="Z3" s="421"/>
      <c r="AA3" s="421"/>
      <c r="AB3" s="421"/>
      <c r="AC3" s="421"/>
      <c r="AD3" s="421"/>
    </row>
    <row r="4" spans="1:30" ht="39.5" thickTop="1" x14ac:dyDescent="0.35">
      <c r="A4" s="20"/>
      <c r="B4" s="29" t="s">
        <v>132</v>
      </c>
      <c r="C4" s="26" t="s">
        <v>2168</v>
      </c>
      <c r="D4" s="21" t="s">
        <v>131</v>
      </c>
      <c r="E4" s="30">
        <v>44348</v>
      </c>
      <c r="F4" s="20"/>
      <c r="G4" s="20"/>
      <c r="H4" s="20"/>
      <c r="I4" s="20"/>
      <c r="J4" s="20"/>
      <c r="K4" s="20"/>
      <c r="L4" s="20"/>
      <c r="M4" s="20"/>
      <c r="N4" s="20"/>
      <c r="O4" s="20"/>
      <c r="P4" s="20"/>
      <c r="Q4" s="20"/>
      <c r="R4" s="20"/>
      <c r="S4" s="20"/>
      <c r="T4" s="20"/>
      <c r="U4" s="20"/>
      <c r="V4" s="20"/>
      <c r="W4" s="20"/>
      <c r="X4" s="20"/>
      <c r="Y4" s="20"/>
      <c r="Z4" s="20"/>
      <c r="AA4" s="20"/>
      <c r="AB4" s="20"/>
    </row>
    <row r="5" spans="1:30" ht="15" thickBot="1" x14ac:dyDescent="0.4">
      <c r="A5" s="20"/>
      <c r="B5" s="423"/>
      <c r="C5" s="424"/>
      <c r="D5" s="425"/>
      <c r="E5" s="426"/>
      <c r="F5" s="425"/>
      <c r="G5" s="427"/>
      <c r="H5" s="20"/>
      <c r="I5" s="20"/>
      <c r="J5" s="20"/>
      <c r="K5" s="20"/>
      <c r="L5" s="20"/>
      <c r="M5" s="20"/>
      <c r="N5" s="20"/>
      <c r="O5" s="20"/>
      <c r="P5" s="20"/>
      <c r="Q5" s="20"/>
      <c r="R5" s="20"/>
      <c r="S5" s="20"/>
      <c r="T5" s="20"/>
      <c r="U5" s="20"/>
      <c r="V5" s="20"/>
      <c r="W5" s="20"/>
      <c r="X5" s="20"/>
      <c r="Y5" s="20"/>
      <c r="Z5" s="20"/>
      <c r="AA5" s="20"/>
      <c r="AB5" s="20"/>
      <c r="AC5" s="20"/>
      <c r="AD5" s="20"/>
    </row>
    <row r="6" spans="1:30" ht="15.5" thickTop="1" thickBot="1" x14ac:dyDescent="0.4">
      <c r="A6" s="20"/>
      <c r="B6" s="2004" t="s">
        <v>2169</v>
      </c>
      <c r="C6" s="2005"/>
      <c r="D6" s="2005"/>
      <c r="E6" s="2005"/>
      <c r="F6" s="2005"/>
      <c r="G6" s="2005"/>
      <c r="H6" s="2005"/>
      <c r="I6" s="2005"/>
      <c r="J6" s="2005"/>
      <c r="K6" s="2005"/>
      <c r="L6" s="2005"/>
      <c r="M6" s="2005"/>
      <c r="N6" s="2005"/>
      <c r="O6" s="2005"/>
      <c r="P6" s="2006"/>
      <c r="Q6" s="20"/>
      <c r="R6" s="20"/>
      <c r="S6" s="20"/>
      <c r="T6" s="20"/>
      <c r="U6" s="20"/>
      <c r="V6" s="20"/>
      <c r="W6" s="20"/>
      <c r="X6" s="20"/>
      <c r="Y6" s="20"/>
      <c r="Z6" s="20"/>
      <c r="AA6" s="20"/>
      <c r="AB6" s="20"/>
      <c r="AC6" s="20"/>
      <c r="AD6" s="20"/>
    </row>
    <row r="7" spans="1:30" ht="15" thickTop="1" x14ac:dyDescent="0.35">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row>
    <row r="8" spans="1:30" x14ac:dyDescent="0.35">
      <c r="A8" s="20"/>
      <c r="B8" s="219" t="s">
        <v>2170</v>
      </c>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row>
    <row r="9" spans="1:30" x14ac:dyDescent="0.35">
      <c r="B9" s="219" t="s">
        <v>2171</v>
      </c>
    </row>
    <row r="10" spans="1:30" ht="15" thickBot="1" x14ac:dyDescent="0.4">
      <c r="A10" s="20"/>
      <c r="B10" s="20"/>
      <c r="C10" s="20"/>
      <c r="D10" s="20"/>
      <c r="E10" s="162"/>
      <c r="F10" s="162"/>
      <c r="G10" s="20"/>
      <c r="H10" s="20"/>
      <c r="I10" s="20"/>
      <c r="J10" s="20"/>
      <c r="K10" s="20"/>
      <c r="L10" s="20"/>
      <c r="M10" s="20"/>
      <c r="N10" s="20"/>
      <c r="O10" s="20"/>
      <c r="P10" s="20"/>
      <c r="Q10" s="20"/>
      <c r="R10" s="20"/>
      <c r="S10" s="20"/>
      <c r="T10" s="20"/>
      <c r="U10" s="20"/>
      <c r="V10" s="20"/>
      <c r="W10" s="20"/>
      <c r="X10" s="20"/>
      <c r="Y10" s="20"/>
      <c r="Z10" s="20"/>
      <c r="AA10" s="20"/>
      <c r="AB10" s="20"/>
      <c r="AC10" s="20"/>
      <c r="AD10" s="20"/>
    </row>
    <row r="11" spans="1:30" ht="15" thickTop="1" x14ac:dyDescent="0.35">
      <c r="A11" s="20"/>
      <c r="B11" s="162"/>
      <c r="C11" s="431"/>
      <c r="D11" s="23" t="s">
        <v>469</v>
      </c>
      <c r="E11" s="23" t="s">
        <v>2172</v>
      </c>
      <c r="F11" s="34" t="s">
        <v>2173</v>
      </c>
      <c r="G11" s="23" t="s">
        <v>2174</v>
      </c>
      <c r="H11" s="23" t="s">
        <v>2175</v>
      </c>
      <c r="I11" s="162"/>
      <c r="J11" s="23" t="s">
        <v>2172</v>
      </c>
      <c r="K11" s="23" t="s">
        <v>2173</v>
      </c>
      <c r="L11" s="20"/>
      <c r="M11" s="23" t="s">
        <v>2172</v>
      </c>
      <c r="N11" s="23" t="s">
        <v>2173</v>
      </c>
      <c r="O11" s="20"/>
      <c r="P11" s="20"/>
      <c r="Q11" s="20"/>
      <c r="R11" s="20"/>
      <c r="S11" s="20"/>
      <c r="T11" s="20"/>
      <c r="U11" s="20"/>
      <c r="V11" s="20"/>
      <c r="W11" s="20"/>
      <c r="X11" s="20"/>
      <c r="Y11" s="20"/>
      <c r="Z11" s="20"/>
      <c r="AA11" s="20"/>
      <c r="AB11" s="20"/>
      <c r="AC11" s="20"/>
      <c r="AD11" s="20"/>
    </row>
    <row r="12" spans="1:30" ht="17" thickBot="1" x14ac:dyDescent="0.4">
      <c r="A12" s="20"/>
      <c r="B12" s="162"/>
      <c r="C12" s="431"/>
      <c r="D12" s="35"/>
      <c r="E12" s="38" t="s">
        <v>2176</v>
      </c>
      <c r="F12" s="36" t="s">
        <v>2176</v>
      </c>
      <c r="G12" s="37" t="s">
        <v>2177</v>
      </c>
      <c r="H12" s="37" t="s">
        <v>2178</v>
      </c>
      <c r="I12" s="162"/>
      <c r="J12" s="38" t="s">
        <v>2179</v>
      </c>
      <c r="K12" s="38" t="s">
        <v>2179</v>
      </c>
      <c r="L12" s="20"/>
      <c r="M12" s="38" t="s">
        <v>2180</v>
      </c>
      <c r="N12" s="38" t="s">
        <v>2180</v>
      </c>
      <c r="O12" s="20"/>
      <c r="P12" s="33" t="s">
        <v>2181</v>
      </c>
      <c r="Q12" s="20"/>
      <c r="R12" s="20"/>
      <c r="S12" s="20"/>
      <c r="T12" s="20"/>
      <c r="U12" s="20"/>
      <c r="V12" s="20"/>
      <c r="W12" s="20"/>
      <c r="X12" s="20"/>
      <c r="Y12" s="20"/>
      <c r="Z12" s="20"/>
      <c r="AA12" s="20"/>
      <c r="AB12" s="20"/>
      <c r="AC12" s="20"/>
      <c r="AD12" s="20"/>
    </row>
    <row r="13" spans="1:30" ht="15.5" thickTop="1" thickBot="1" x14ac:dyDescent="0.4">
      <c r="A13" s="20"/>
      <c r="B13" s="1999" t="s">
        <v>2182</v>
      </c>
      <c r="C13" s="23" t="s">
        <v>2183</v>
      </c>
      <c r="D13" s="22">
        <v>2020</v>
      </c>
      <c r="E13" s="39">
        <v>44.902000000000001</v>
      </c>
      <c r="F13" s="39">
        <v>47.265999999999998</v>
      </c>
      <c r="G13" s="39">
        <v>711.74400000000003</v>
      </c>
      <c r="H13" s="39">
        <v>1405</v>
      </c>
      <c r="I13" s="162"/>
      <c r="J13" s="39">
        <v>12.473000000000001</v>
      </c>
      <c r="K13" s="39">
        <v>13.129</v>
      </c>
      <c r="L13" s="20"/>
      <c r="M13" s="39">
        <v>8.8780000000000001</v>
      </c>
      <c r="N13" s="39">
        <v>9.3450000000000006</v>
      </c>
      <c r="O13" s="20"/>
      <c r="P13" s="20"/>
      <c r="Q13" s="20"/>
      <c r="R13" s="20"/>
      <c r="S13" s="162"/>
      <c r="T13" s="162"/>
      <c r="U13" s="162"/>
      <c r="V13" s="162"/>
      <c r="W13" s="162"/>
      <c r="X13" s="162"/>
      <c r="Y13" s="162"/>
      <c r="Z13" s="162"/>
      <c r="AA13" s="162"/>
      <c r="AB13" s="162"/>
      <c r="AC13" s="25"/>
      <c r="AD13" s="25"/>
    </row>
    <row r="14" spans="1:30" ht="15.5" thickTop="1" thickBot="1" x14ac:dyDescent="0.4">
      <c r="A14" s="20"/>
      <c r="B14" s="2001"/>
      <c r="C14" s="23" t="s">
        <v>2184</v>
      </c>
      <c r="D14" s="28">
        <v>2020</v>
      </c>
      <c r="E14" s="40">
        <v>43.905000000000001</v>
      </c>
      <c r="F14" s="40">
        <v>46.215000000000003</v>
      </c>
      <c r="G14" s="40">
        <v>799.36099999999999</v>
      </c>
      <c r="H14" s="40">
        <v>1251</v>
      </c>
      <c r="I14" s="162"/>
      <c r="J14" s="40">
        <v>12.196</v>
      </c>
      <c r="K14" s="40">
        <v>12.837999999999999</v>
      </c>
      <c r="L14" s="20"/>
      <c r="M14" s="40">
        <v>9.7490000000000006</v>
      </c>
      <c r="N14" s="40">
        <v>10.262</v>
      </c>
      <c r="O14" s="20"/>
      <c r="P14" s="20"/>
      <c r="Q14" s="20"/>
      <c r="R14" s="162"/>
      <c r="S14" s="162"/>
      <c r="T14" s="162"/>
      <c r="U14" s="162"/>
      <c r="V14" s="162"/>
      <c r="W14" s="162"/>
      <c r="X14" s="162"/>
      <c r="Y14" s="162"/>
      <c r="Z14" s="162"/>
      <c r="AA14" s="162"/>
      <c r="AB14" s="20"/>
      <c r="AC14" s="20"/>
      <c r="AD14" s="20"/>
    </row>
    <row r="15" spans="1:30" ht="30" thickTop="1" thickBot="1" x14ac:dyDescent="0.4">
      <c r="B15" s="2001"/>
      <c r="C15" s="23" t="s">
        <v>2185</v>
      </c>
      <c r="D15" s="28">
        <v>2020</v>
      </c>
      <c r="E15" s="40">
        <v>43.889000000000003</v>
      </c>
      <c r="F15" s="40">
        <v>46.198</v>
      </c>
      <c r="G15" s="40">
        <v>802.56799999999998</v>
      </c>
      <c r="H15" s="40">
        <v>1246</v>
      </c>
      <c r="I15" s="162"/>
      <c r="J15" s="40">
        <v>12.191000000000001</v>
      </c>
      <c r="K15" s="40">
        <v>12.833</v>
      </c>
      <c r="L15" s="20"/>
      <c r="M15" s="40">
        <v>9.7840000000000007</v>
      </c>
      <c r="N15" s="40">
        <v>10.298999999999999</v>
      </c>
      <c r="O15" s="20"/>
      <c r="P15" s="20"/>
      <c r="Q15" s="20"/>
      <c r="R15" s="162"/>
      <c r="S15" s="162"/>
      <c r="T15" s="162"/>
      <c r="U15" s="162"/>
      <c r="V15" s="162"/>
      <c r="W15" s="162"/>
      <c r="X15" s="162"/>
      <c r="Y15" s="162"/>
      <c r="Z15" s="162"/>
      <c r="AA15" s="162"/>
    </row>
    <row r="16" spans="1:30" ht="15.5" thickTop="1" thickBot="1" x14ac:dyDescent="0.4">
      <c r="B16" s="2001"/>
      <c r="C16" s="23" t="s">
        <v>1892</v>
      </c>
      <c r="D16" s="28">
        <v>2020</v>
      </c>
      <c r="E16" s="40">
        <v>28.613</v>
      </c>
      <c r="F16" s="40">
        <v>30.119</v>
      </c>
      <c r="G16" s="40">
        <v>850</v>
      </c>
      <c r="H16" s="40">
        <v>1176.471</v>
      </c>
      <c r="I16" s="162"/>
      <c r="J16" s="40">
        <v>7.9480000000000004</v>
      </c>
      <c r="K16" s="40">
        <v>8.3659999999999997</v>
      </c>
      <c r="L16" s="20"/>
      <c r="M16" s="40">
        <v>6.7560000000000002</v>
      </c>
      <c r="N16" s="40">
        <v>7.1109999999999998</v>
      </c>
      <c r="O16" s="20"/>
      <c r="P16" s="20"/>
      <c r="Q16" s="20"/>
      <c r="R16" s="162"/>
      <c r="S16" s="162"/>
      <c r="T16" s="162"/>
      <c r="U16" s="162"/>
      <c r="V16" s="162"/>
      <c r="W16" s="162"/>
      <c r="X16" s="162"/>
      <c r="Y16" s="162"/>
      <c r="Z16" s="162"/>
      <c r="AA16" s="162"/>
    </row>
    <row r="17" spans="2:27" ht="17.5" thickTop="1" thickBot="1" x14ac:dyDescent="0.4">
      <c r="B17" s="2001"/>
      <c r="C17" s="23" t="s">
        <v>1886</v>
      </c>
      <c r="D17" s="28">
        <v>2020</v>
      </c>
      <c r="E17" s="40">
        <v>24.007999999999999</v>
      </c>
      <c r="F17" s="40">
        <v>25.271999999999998</v>
      </c>
      <c r="G17" s="48"/>
      <c r="H17" s="48"/>
      <c r="I17" s="162"/>
      <c r="J17" s="40">
        <v>6.6689999999999996</v>
      </c>
      <c r="K17" s="40">
        <v>7.02</v>
      </c>
      <c r="L17" s="20"/>
      <c r="M17" s="48"/>
      <c r="N17" s="51"/>
      <c r="O17" s="20"/>
      <c r="P17" s="32">
        <v>1</v>
      </c>
      <c r="Q17" s="20"/>
      <c r="R17" s="162"/>
      <c r="S17" s="162"/>
      <c r="T17" s="162"/>
      <c r="U17" s="162"/>
      <c r="V17" s="162"/>
      <c r="W17" s="162"/>
      <c r="X17" s="162"/>
      <c r="Y17" s="162"/>
      <c r="Z17" s="162"/>
      <c r="AA17" s="162"/>
    </row>
    <row r="18" spans="2:27" ht="30" thickTop="1" thickBot="1" x14ac:dyDescent="0.4">
      <c r="B18" s="2001"/>
      <c r="C18" s="23" t="s">
        <v>1938</v>
      </c>
      <c r="D18" s="28">
        <v>2020</v>
      </c>
      <c r="E18" s="40">
        <v>23.971</v>
      </c>
      <c r="F18" s="40">
        <v>25.231999999999999</v>
      </c>
      <c r="G18" s="48"/>
      <c r="H18" s="48"/>
      <c r="I18" s="162"/>
      <c r="J18" s="40">
        <v>6.6589999999999998</v>
      </c>
      <c r="K18" s="40">
        <v>7.0090000000000003</v>
      </c>
      <c r="L18" s="20"/>
      <c r="M18" s="48"/>
      <c r="N18" s="51"/>
      <c r="O18" s="20"/>
      <c r="P18" s="32">
        <v>2</v>
      </c>
      <c r="Q18" s="20"/>
      <c r="R18" s="162"/>
      <c r="S18" s="162"/>
      <c r="T18" s="162"/>
      <c r="U18" s="162"/>
      <c r="V18" s="162"/>
      <c r="W18" s="162"/>
      <c r="X18" s="162"/>
      <c r="Y18" s="162"/>
      <c r="Z18" s="162"/>
      <c r="AA18" s="162"/>
    </row>
    <row r="19" spans="2:27" ht="15.5" thickTop="1" thickBot="1" x14ac:dyDescent="0.4">
      <c r="B19" s="2001"/>
      <c r="C19" s="23" t="s">
        <v>1879</v>
      </c>
      <c r="D19" s="28">
        <v>2020</v>
      </c>
      <c r="E19" s="40">
        <v>25.405000000000001</v>
      </c>
      <c r="F19" s="40">
        <v>26.742000000000001</v>
      </c>
      <c r="G19" s="48"/>
      <c r="H19" s="48"/>
      <c r="I19" s="162"/>
      <c r="J19" s="40">
        <v>7.0570000000000004</v>
      </c>
      <c r="K19" s="40">
        <v>7.4279999999999999</v>
      </c>
      <c r="L19" s="20"/>
      <c r="M19" s="48"/>
      <c r="N19" s="51"/>
      <c r="O19" s="20"/>
      <c r="P19" s="20"/>
      <c r="Q19" s="20"/>
      <c r="R19" s="162"/>
      <c r="S19" s="162"/>
      <c r="T19" s="162"/>
      <c r="U19" s="162"/>
      <c r="V19" s="162"/>
      <c r="W19" s="162"/>
      <c r="X19" s="162"/>
      <c r="Y19" s="162"/>
      <c r="Z19" s="162"/>
      <c r="AA19" s="162"/>
    </row>
    <row r="20" spans="2:27" x14ac:dyDescent="0.35">
      <c r="B20" s="2001"/>
      <c r="C20" s="23" t="s">
        <v>2186</v>
      </c>
      <c r="D20" s="28">
        <v>2020</v>
      </c>
      <c r="E20" s="40">
        <v>30.24</v>
      </c>
      <c r="F20" s="40">
        <v>31.832000000000001</v>
      </c>
      <c r="G20" s="48"/>
      <c r="H20" s="48"/>
      <c r="I20" s="162"/>
      <c r="J20" s="40">
        <v>8.4</v>
      </c>
      <c r="K20" s="40">
        <v>8.8420000000000005</v>
      </c>
      <c r="L20" s="20"/>
      <c r="M20" s="48"/>
      <c r="N20" s="51"/>
      <c r="O20" s="20"/>
      <c r="P20" s="20"/>
      <c r="Q20" s="20"/>
      <c r="R20" s="162"/>
      <c r="S20" s="162"/>
      <c r="T20" s="162"/>
      <c r="U20" s="162"/>
      <c r="V20" s="162"/>
      <c r="W20" s="162"/>
      <c r="X20" s="162"/>
      <c r="Y20" s="162"/>
      <c r="Z20" s="162"/>
      <c r="AA20" s="162"/>
    </row>
    <row r="21" spans="2:27" ht="15.5" thickTop="1" thickBot="1" x14ac:dyDescent="0.4">
      <c r="B21" s="2001"/>
      <c r="C21" s="23" t="s">
        <v>1831</v>
      </c>
      <c r="D21" s="28">
        <v>2020</v>
      </c>
      <c r="E21" s="40">
        <v>42.927999999999997</v>
      </c>
      <c r="F21" s="40">
        <v>45.667999999999999</v>
      </c>
      <c r="G21" s="40">
        <v>838.22299999999996</v>
      </c>
      <c r="H21" s="40">
        <v>1193</v>
      </c>
      <c r="I21" s="162"/>
      <c r="J21" s="40">
        <v>11.925000000000001</v>
      </c>
      <c r="K21" s="40">
        <v>12.686</v>
      </c>
      <c r="L21" s="20"/>
      <c r="M21" s="40">
        <v>9.9949999999999992</v>
      </c>
      <c r="N21" s="40">
        <v>10.632999999999999</v>
      </c>
      <c r="O21" s="20"/>
      <c r="P21" s="20"/>
      <c r="Q21" s="20"/>
      <c r="R21" s="162"/>
      <c r="S21" s="162"/>
      <c r="T21" s="162"/>
      <c r="U21" s="162"/>
      <c r="V21" s="162"/>
      <c r="W21" s="162"/>
      <c r="X21" s="162"/>
      <c r="Y21" s="162"/>
      <c r="Z21" s="162"/>
      <c r="AA21" s="162"/>
    </row>
    <row r="22" spans="2:27" ht="15.5" thickTop="1" thickBot="1" x14ac:dyDescent="0.4">
      <c r="B22" s="2001"/>
      <c r="C22" s="23" t="s">
        <v>2187</v>
      </c>
      <c r="D22" s="28">
        <v>2020</v>
      </c>
      <c r="E22" s="40">
        <v>42.643000000000001</v>
      </c>
      <c r="F22" s="40">
        <v>45.320999999999998</v>
      </c>
      <c r="G22" s="40">
        <v>840.66099999999994</v>
      </c>
      <c r="H22" s="40">
        <v>1189.54</v>
      </c>
      <c r="I22" s="162"/>
      <c r="J22" s="40">
        <v>11.845000000000001</v>
      </c>
      <c r="K22" s="40">
        <v>12.589</v>
      </c>
      <c r="L22" s="20"/>
      <c r="M22" s="40">
        <v>9.9580000000000002</v>
      </c>
      <c r="N22" s="40">
        <v>10.583</v>
      </c>
      <c r="O22" s="20"/>
      <c r="P22" s="20"/>
      <c r="Q22" s="20"/>
      <c r="R22" s="162"/>
      <c r="S22" s="162"/>
      <c r="T22" s="162"/>
      <c r="U22" s="162"/>
      <c r="V22" s="162"/>
      <c r="W22" s="162"/>
      <c r="X22" s="162"/>
      <c r="Y22" s="162"/>
      <c r="Z22" s="162"/>
      <c r="AA22" s="162"/>
    </row>
    <row r="23" spans="2:27" ht="30" thickTop="1" thickBot="1" x14ac:dyDescent="0.4">
      <c r="B23" s="2001"/>
      <c r="C23" s="23" t="s">
        <v>2188</v>
      </c>
      <c r="D23" s="28">
        <v>2020</v>
      </c>
      <c r="E23" s="40">
        <v>40.713999999999999</v>
      </c>
      <c r="F23" s="40">
        <v>43.311999999999998</v>
      </c>
      <c r="G23" s="40">
        <v>988.14200000000005</v>
      </c>
      <c r="H23" s="40">
        <v>1012</v>
      </c>
      <c r="I23" s="162"/>
      <c r="J23" s="40">
        <v>11.308999999999999</v>
      </c>
      <c r="K23" s="40">
        <v>12.031000000000001</v>
      </c>
      <c r="L23" s="20"/>
      <c r="M23" s="40">
        <v>11.175000000000001</v>
      </c>
      <c r="N23" s="40">
        <v>11.888999999999999</v>
      </c>
      <c r="O23" s="20"/>
      <c r="P23" s="20"/>
      <c r="Q23" s="20"/>
      <c r="R23" s="162"/>
      <c r="S23" s="162"/>
      <c r="T23" s="162"/>
      <c r="U23" s="162"/>
      <c r="V23" s="162"/>
      <c r="W23" s="162"/>
      <c r="X23" s="162"/>
      <c r="Y23" s="162"/>
      <c r="Z23" s="162"/>
      <c r="AA23" s="162"/>
    </row>
    <row r="24" spans="2:27" ht="30" thickTop="1" thickBot="1" x14ac:dyDescent="0.4">
      <c r="B24" s="2001"/>
      <c r="C24" s="23" t="s">
        <v>2189</v>
      </c>
      <c r="D24" s="28">
        <v>2020</v>
      </c>
      <c r="E24" s="40">
        <v>42.569000000000003</v>
      </c>
      <c r="F24" s="40">
        <v>45.286000000000001</v>
      </c>
      <c r="G24" s="40">
        <v>853.971</v>
      </c>
      <c r="H24" s="40">
        <v>1171</v>
      </c>
      <c r="I24" s="162"/>
      <c r="J24" s="40">
        <v>11.824999999999999</v>
      </c>
      <c r="K24" s="40">
        <v>12.579000000000001</v>
      </c>
      <c r="L24" s="20"/>
      <c r="M24" s="40">
        <v>10.098000000000001</v>
      </c>
      <c r="N24" s="40">
        <v>10.742000000000001</v>
      </c>
      <c r="O24" s="20"/>
      <c r="P24" s="20"/>
      <c r="Q24" s="20"/>
      <c r="R24" s="162"/>
      <c r="S24" s="162"/>
      <c r="T24" s="162"/>
      <c r="U24" s="162"/>
      <c r="V24" s="162"/>
      <c r="W24" s="162"/>
      <c r="X24" s="162"/>
      <c r="Y24" s="162"/>
      <c r="Z24" s="162"/>
      <c r="AA24" s="162"/>
    </row>
    <row r="25" spans="2:27" ht="15.5" thickTop="1" thickBot="1" x14ac:dyDescent="0.4">
      <c r="B25" s="2001"/>
      <c r="C25" s="23" t="s">
        <v>1837</v>
      </c>
      <c r="D25" s="28">
        <v>2020</v>
      </c>
      <c r="E25" s="40">
        <v>40.713999999999999</v>
      </c>
      <c r="F25" s="40">
        <v>43.311999999999998</v>
      </c>
      <c r="G25" s="40">
        <v>866.55100000000004</v>
      </c>
      <c r="H25" s="40">
        <v>1154</v>
      </c>
      <c r="I25" s="162"/>
      <c r="J25" s="40">
        <v>11.308999999999999</v>
      </c>
      <c r="K25" s="40">
        <v>12.031000000000001</v>
      </c>
      <c r="L25" s="162"/>
      <c r="M25" s="40">
        <v>9.8000000000000007</v>
      </c>
      <c r="N25" s="40">
        <v>10.426</v>
      </c>
      <c r="O25" s="25"/>
      <c r="P25" s="31"/>
      <c r="Q25" s="25"/>
      <c r="R25" s="162"/>
      <c r="S25" s="162"/>
      <c r="T25" s="162"/>
      <c r="U25" s="162"/>
      <c r="V25" s="162"/>
      <c r="W25" s="162"/>
      <c r="X25" s="162"/>
      <c r="Y25" s="162"/>
      <c r="Z25" s="162"/>
      <c r="AA25" s="162"/>
    </row>
    <row r="26" spans="2:27" ht="15.5" thickTop="1" thickBot="1" x14ac:dyDescent="0.4">
      <c r="B26" s="2001"/>
      <c r="C26" s="23" t="s">
        <v>2190</v>
      </c>
      <c r="D26" s="28">
        <v>2020</v>
      </c>
      <c r="E26" s="40">
        <v>45.938000000000002</v>
      </c>
      <c r="F26" s="40">
        <v>49.326999999999998</v>
      </c>
      <c r="G26" s="40">
        <v>529.25</v>
      </c>
      <c r="H26" s="40">
        <v>1889.4649999999999</v>
      </c>
      <c r="I26" s="162"/>
      <c r="J26" s="40">
        <v>12.760999999999999</v>
      </c>
      <c r="K26" s="40">
        <v>13.702</v>
      </c>
      <c r="L26" s="20"/>
      <c r="M26" s="40">
        <v>6.7539999999999996</v>
      </c>
      <c r="N26" s="40">
        <v>7.2519999999999998</v>
      </c>
      <c r="O26" s="20"/>
      <c r="P26" s="20"/>
      <c r="Q26" s="20"/>
      <c r="R26" s="162"/>
      <c r="S26" s="162"/>
      <c r="T26" s="162"/>
      <c r="U26" s="162"/>
      <c r="V26" s="162"/>
      <c r="W26" s="162"/>
      <c r="X26" s="162"/>
      <c r="Y26" s="162"/>
      <c r="Z26" s="162"/>
      <c r="AA26" s="162"/>
    </row>
    <row r="27" spans="2:27" ht="15.5" thickTop="1" thickBot="1" x14ac:dyDescent="0.4">
      <c r="B27" s="2001"/>
      <c r="C27" s="23" t="s">
        <v>597</v>
      </c>
      <c r="D27" s="28">
        <v>2020</v>
      </c>
      <c r="E27" s="40">
        <v>45.442</v>
      </c>
      <c r="F27" s="40">
        <v>47.834000000000003</v>
      </c>
      <c r="G27" s="40">
        <v>674.30899999999997</v>
      </c>
      <c r="H27" s="40">
        <v>1483</v>
      </c>
      <c r="I27" s="162"/>
      <c r="J27" s="40">
        <v>12.622999999999999</v>
      </c>
      <c r="K27" s="40">
        <v>13.287000000000001</v>
      </c>
      <c r="L27" s="20"/>
      <c r="M27" s="40">
        <v>8.5120000000000005</v>
      </c>
      <c r="N27" s="40">
        <v>8.9600000000000009</v>
      </c>
      <c r="O27" s="20"/>
      <c r="P27" s="20"/>
      <c r="Q27" s="20"/>
      <c r="R27" s="162"/>
      <c r="S27" s="162"/>
      <c r="T27" s="162"/>
      <c r="U27" s="162"/>
      <c r="V27" s="162"/>
      <c r="W27" s="162"/>
      <c r="X27" s="162"/>
      <c r="Y27" s="162"/>
      <c r="Z27" s="162"/>
      <c r="AA27" s="162"/>
    </row>
    <row r="28" spans="2:27" ht="15.5" thickTop="1" thickBot="1" x14ac:dyDescent="0.4">
      <c r="B28" s="2001"/>
      <c r="C28" s="23" t="s">
        <v>2191</v>
      </c>
      <c r="D28" s="28">
        <v>2020</v>
      </c>
      <c r="E28" s="40">
        <v>44.758000000000003</v>
      </c>
      <c r="F28" s="40">
        <v>49.594999999999999</v>
      </c>
      <c r="G28" s="40">
        <v>0.79900000000000004</v>
      </c>
      <c r="H28" s="40">
        <v>1252312.773</v>
      </c>
      <c r="I28" s="162"/>
      <c r="J28" s="40">
        <v>12.433</v>
      </c>
      <c r="K28" s="40">
        <v>13.776</v>
      </c>
      <c r="L28" s="162"/>
      <c r="M28" s="40">
        <v>0.01</v>
      </c>
      <c r="N28" s="40">
        <v>1.0999999999999999E-2</v>
      </c>
      <c r="O28" s="25"/>
      <c r="P28" s="31"/>
      <c r="Q28" s="25"/>
      <c r="R28" s="162"/>
      <c r="S28" s="162"/>
      <c r="T28" s="162"/>
      <c r="U28" s="162"/>
      <c r="V28" s="162"/>
      <c r="W28" s="162"/>
      <c r="X28" s="162"/>
      <c r="Y28" s="162"/>
      <c r="Z28" s="162"/>
      <c r="AA28" s="162"/>
    </row>
    <row r="29" spans="2:27" ht="15.5" thickTop="1" thickBot="1" x14ac:dyDescent="0.4">
      <c r="B29" s="2001"/>
      <c r="C29" s="23" t="s">
        <v>2192</v>
      </c>
      <c r="D29" s="28">
        <v>2020</v>
      </c>
      <c r="E29" s="40">
        <v>44.758000000000003</v>
      </c>
      <c r="F29" s="40">
        <v>49.594999999999999</v>
      </c>
      <c r="G29" s="40">
        <v>0.79900000000000004</v>
      </c>
      <c r="H29" s="40">
        <v>1252312.773</v>
      </c>
      <c r="I29" s="162"/>
      <c r="J29" s="40">
        <v>12.433</v>
      </c>
      <c r="K29" s="40">
        <v>13.776</v>
      </c>
      <c r="L29" s="20"/>
      <c r="M29" s="40">
        <v>0.01</v>
      </c>
      <c r="N29" s="40">
        <v>1.0999999999999999E-2</v>
      </c>
      <c r="O29" s="20"/>
      <c r="P29" s="20"/>
      <c r="Q29" s="20"/>
      <c r="R29" s="162"/>
      <c r="S29" s="162"/>
      <c r="T29" s="162"/>
      <c r="U29" s="162"/>
      <c r="V29" s="162"/>
      <c r="W29" s="162"/>
      <c r="X29" s="162"/>
      <c r="Y29" s="162"/>
      <c r="Z29" s="162"/>
      <c r="AA29" s="162"/>
    </row>
    <row r="30" spans="2:27" ht="15.5" thickTop="1" thickBot="1" x14ac:dyDescent="0.4">
      <c r="B30" s="2001"/>
      <c r="C30" s="41" t="s">
        <v>1799</v>
      </c>
      <c r="D30" s="28">
        <v>2020</v>
      </c>
      <c r="E30" s="40">
        <v>46.601999999999997</v>
      </c>
      <c r="F30" s="40">
        <v>50.654000000000003</v>
      </c>
      <c r="G30" s="40">
        <v>366.3</v>
      </c>
      <c r="H30" s="40">
        <v>2730</v>
      </c>
      <c r="I30" s="162"/>
      <c r="J30" s="40">
        <v>12.945</v>
      </c>
      <c r="K30" s="40">
        <v>14.071</v>
      </c>
      <c r="L30" s="20"/>
      <c r="M30" s="40">
        <v>4.742</v>
      </c>
      <c r="N30" s="40">
        <v>5.1539999999999999</v>
      </c>
      <c r="O30" s="20"/>
      <c r="P30" s="20"/>
      <c r="Q30" s="20"/>
      <c r="R30" s="162"/>
      <c r="S30" s="162"/>
      <c r="T30" s="162"/>
      <c r="U30" s="162"/>
      <c r="V30" s="162"/>
      <c r="W30" s="162"/>
      <c r="X30" s="162"/>
      <c r="Y30" s="162"/>
      <c r="Z30" s="162"/>
      <c r="AA30" s="162"/>
    </row>
    <row r="31" spans="2:27" ht="15.5" thickTop="1" thickBot="1" x14ac:dyDescent="0.4">
      <c r="B31" s="2001"/>
      <c r="C31" s="41" t="s">
        <v>1932</v>
      </c>
      <c r="D31" s="28">
        <v>2020</v>
      </c>
      <c r="E31" s="40">
        <v>33.972000000000001</v>
      </c>
      <c r="F31" s="40">
        <v>35.76</v>
      </c>
      <c r="G31" s="48"/>
      <c r="H31" s="48"/>
      <c r="I31" s="162"/>
      <c r="J31" s="40">
        <v>9.4369999999999994</v>
      </c>
      <c r="K31" s="40">
        <v>9.9329999999999998</v>
      </c>
      <c r="L31" s="20"/>
      <c r="M31" s="51"/>
      <c r="N31" s="51"/>
      <c r="O31" s="20"/>
      <c r="P31" s="20"/>
      <c r="Q31" s="20"/>
      <c r="R31" s="162"/>
      <c r="S31" s="162"/>
      <c r="T31" s="162"/>
      <c r="U31" s="162"/>
      <c r="V31" s="162"/>
      <c r="W31" s="162"/>
      <c r="X31" s="162"/>
      <c r="Y31" s="162"/>
      <c r="Z31" s="162"/>
      <c r="AA31" s="162"/>
    </row>
    <row r="32" spans="2:27" ht="15.5" thickTop="1" thickBot="1" x14ac:dyDescent="0.4">
      <c r="B32" s="2001"/>
      <c r="C32" s="41" t="s">
        <v>1845</v>
      </c>
      <c r="D32" s="28">
        <v>2020</v>
      </c>
      <c r="E32" s="40">
        <v>44.7</v>
      </c>
      <c r="F32" s="40">
        <v>47.052999999999997</v>
      </c>
      <c r="G32" s="40">
        <v>734.21400000000006</v>
      </c>
      <c r="H32" s="40">
        <v>1362</v>
      </c>
      <c r="I32" s="162"/>
      <c r="J32" s="40">
        <v>12.417</v>
      </c>
      <c r="K32" s="40">
        <v>13.07</v>
      </c>
      <c r="L32" s="20"/>
      <c r="M32" s="40">
        <v>9.1170000000000009</v>
      </c>
      <c r="N32" s="40">
        <v>9.5960000000000001</v>
      </c>
      <c r="O32" s="20"/>
      <c r="P32" s="20"/>
      <c r="Q32" s="20"/>
      <c r="R32" s="162"/>
      <c r="S32" s="162"/>
      <c r="T32" s="162"/>
      <c r="U32" s="162"/>
      <c r="V32" s="162"/>
      <c r="W32" s="162"/>
      <c r="X32" s="162"/>
      <c r="Y32" s="162"/>
      <c r="Z32" s="162"/>
      <c r="AA32" s="162"/>
    </row>
    <row r="33" spans="2:27" ht="15.5" thickTop="1" thickBot="1" x14ac:dyDescent="0.4">
      <c r="B33" s="2001"/>
      <c r="C33" s="42" t="s">
        <v>2193</v>
      </c>
      <c r="D33" s="28">
        <v>2020</v>
      </c>
      <c r="E33" s="40">
        <v>43.831000000000003</v>
      </c>
      <c r="F33" s="40">
        <v>46.210999999999999</v>
      </c>
      <c r="G33" s="40">
        <v>736.90800000000002</v>
      </c>
      <c r="H33" s="40">
        <v>1357.021</v>
      </c>
      <c r="I33" s="162"/>
      <c r="J33" s="40">
        <v>12.175000000000001</v>
      </c>
      <c r="K33" s="40">
        <v>12.836</v>
      </c>
      <c r="L33" s="162"/>
      <c r="M33" s="40">
        <v>8.9719999999999995</v>
      </c>
      <c r="N33" s="40">
        <v>9.4589999999999996</v>
      </c>
      <c r="O33" s="25"/>
      <c r="P33" s="31"/>
      <c r="Q33" s="25"/>
      <c r="R33" s="162"/>
      <c r="S33" s="162"/>
      <c r="T33" s="162"/>
      <c r="U33" s="162"/>
      <c r="V33" s="162"/>
      <c r="W33" s="162"/>
      <c r="X33" s="162"/>
      <c r="Y33" s="162"/>
      <c r="Z33" s="162"/>
      <c r="AA33" s="162"/>
    </row>
    <row r="34" spans="2:27" ht="15.5" thickTop="1" thickBot="1" x14ac:dyDescent="0.4">
      <c r="B34" s="2000"/>
      <c r="C34" s="42" t="s">
        <v>599</v>
      </c>
      <c r="D34" s="28">
        <v>2020</v>
      </c>
      <c r="E34" s="43">
        <v>42.222000000000001</v>
      </c>
      <c r="F34" s="49">
        <v>45.215000000000003</v>
      </c>
      <c r="G34" s="52">
        <v>853.971</v>
      </c>
      <c r="H34" s="43">
        <v>1171</v>
      </c>
      <c r="I34" s="162"/>
      <c r="J34" s="43">
        <v>11.728</v>
      </c>
      <c r="K34" s="49">
        <v>12.56</v>
      </c>
      <c r="L34" s="162"/>
      <c r="M34" s="43">
        <v>10.016</v>
      </c>
      <c r="N34" s="49">
        <v>10.726000000000001</v>
      </c>
      <c r="O34" s="20"/>
      <c r="P34" s="20"/>
      <c r="Q34" s="20"/>
      <c r="R34" s="162"/>
      <c r="S34" s="162"/>
      <c r="T34" s="162"/>
      <c r="U34" s="162"/>
      <c r="V34" s="162"/>
      <c r="W34" s="162"/>
      <c r="X34" s="162"/>
      <c r="Y34" s="162"/>
      <c r="Z34" s="162"/>
      <c r="AA34" s="162"/>
    </row>
    <row r="35" spans="2:27" ht="15.5" thickTop="1" thickBot="1" x14ac:dyDescent="0.4">
      <c r="B35" s="25"/>
      <c r="C35" s="44"/>
      <c r="D35" s="24"/>
      <c r="E35" s="45"/>
      <c r="F35" s="45"/>
      <c r="G35" s="46"/>
      <c r="H35" s="47"/>
      <c r="I35" s="162"/>
      <c r="J35" s="45"/>
      <c r="K35" s="45"/>
      <c r="L35" s="162"/>
      <c r="M35" s="25"/>
      <c r="N35" s="25"/>
      <c r="O35" s="25"/>
      <c r="P35" s="31"/>
      <c r="Q35" s="25"/>
      <c r="R35" s="162"/>
      <c r="S35" s="162"/>
      <c r="T35" s="162"/>
      <c r="U35" s="162"/>
      <c r="V35" s="162"/>
      <c r="W35" s="162"/>
      <c r="X35" s="162"/>
      <c r="Y35" s="162"/>
      <c r="Z35" s="162"/>
      <c r="AA35" s="162"/>
    </row>
    <row r="36" spans="2:27" ht="15" thickTop="1" x14ac:dyDescent="0.35">
      <c r="B36" s="25"/>
      <c r="C36" s="2007"/>
      <c r="D36" s="23" t="s">
        <v>469</v>
      </c>
      <c r="E36" s="23" t="s">
        <v>2172</v>
      </c>
      <c r="F36" s="23" t="s">
        <v>2173</v>
      </c>
      <c r="G36" s="23" t="s">
        <v>2174</v>
      </c>
      <c r="H36" s="23" t="s">
        <v>2175</v>
      </c>
      <c r="I36" s="162"/>
      <c r="J36" s="23" t="s">
        <v>2172</v>
      </c>
      <c r="K36" s="23" t="s">
        <v>2173</v>
      </c>
      <c r="L36" s="20"/>
      <c r="M36" s="23" t="s">
        <v>2172</v>
      </c>
      <c r="N36" s="23" t="s">
        <v>2173</v>
      </c>
      <c r="O36" s="20"/>
      <c r="P36" s="20"/>
      <c r="Q36" s="20"/>
      <c r="R36" s="162"/>
      <c r="S36" s="162"/>
      <c r="T36" s="162"/>
      <c r="U36" s="162"/>
      <c r="V36" s="162"/>
      <c r="W36" s="162"/>
      <c r="X36" s="162"/>
      <c r="Y36" s="162"/>
      <c r="Z36" s="162"/>
      <c r="AA36" s="162"/>
    </row>
    <row r="37" spans="2:27" ht="17" thickBot="1" x14ac:dyDescent="0.4">
      <c r="B37" s="25"/>
      <c r="C37" s="2007"/>
      <c r="D37" s="35"/>
      <c r="E37" s="35" t="s">
        <v>2176</v>
      </c>
      <c r="F37" s="35" t="s">
        <v>2176</v>
      </c>
      <c r="G37" s="35" t="s">
        <v>2194</v>
      </c>
      <c r="H37" s="53" t="s">
        <v>2178</v>
      </c>
      <c r="I37" s="162"/>
      <c r="J37" s="38" t="s">
        <v>2179</v>
      </c>
      <c r="K37" s="38" t="s">
        <v>2179</v>
      </c>
      <c r="L37" s="20"/>
      <c r="M37" s="38" t="s">
        <v>2180</v>
      </c>
      <c r="N37" s="38" t="s">
        <v>2180</v>
      </c>
      <c r="O37" s="20"/>
      <c r="P37" s="20"/>
      <c r="Q37" s="20"/>
      <c r="R37" s="162"/>
      <c r="S37" s="162"/>
      <c r="T37" s="162"/>
      <c r="U37" s="162"/>
      <c r="V37" s="162"/>
      <c r="W37" s="162"/>
      <c r="X37" s="162"/>
      <c r="Y37" s="162"/>
      <c r="Z37" s="162"/>
      <c r="AA37" s="162"/>
    </row>
    <row r="38" spans="2:27" ht="15.5" thickTop="1" thickBot="1" x14ac:dyDescent="0.4">
      <c r="B38" s="1999" t="s">
        <v>2195</v>
      </c>
      <c r="C38" s="42" t="s">
        <v>2196</v>
      </c>
      <c r="D38" s="22">
        <v>2020</v>
      </c>
      <c r="E38" s="40">
        <v>37.200000000000003</v>
      </c>
      <c r="F38" s="40">
        <v>38.700000000000003</v>
      </c>
      <c r="G38" s="40">
        <v>890</v>
      </c>
      <c r="H38" s="57">
        <v>1123.596</v>
      </c>
      <c r="I38" s="428"/>
      <c r="J38" s="40">
        <v>10.333</v>
      </c>
      <c r="K38" s="40">
        <v>10.75</v>
      </c>
      <c r="L38" s="20"/>
      <c r="M38" s="39">
        <v>9.1969999999999992</v>
      </c>
      <c r="N38" s="39">
        <v>9.5679999999999996</v>
      </c>
      <c r="O38" s="20"/>
      <c r="P38" s="20"/>
      <c r="Q38" s="20"/>
      <c r="R38" s="162"/>
      <c r="S38" s="162"/>
      <c r="T38" s="162"/>
      <c r="U38" s="162"/>
      <c r="V38" s="162"/>
      <c r="W38" s="162"/>
      <c r="X38" s="162"/>
      <c r="Y38" s="162"/>
      <c r="Z38" s="162"/>
      <c r="AA38" s="162"/>
    </row>
    <row r="39" spans="2:27" ht="15.5" thickTop="1" thickBot="1" x14ac:dyDescent="0.4">
      <c r="B39" s="2001"/>
      <c r="C39" s="23" t="s">
        <v>2197</v>
      </c>
      <c r="D39" s="28">
        <v>2020</v>
      </c>
      <c r="E39" s="40">
        <v>44</v>
      </c>
      <c r="F39" s="40">
        <v>45.774000000000001</v>
      </c>
      <c r="G39" s="40">
        <v>780</v>
      </c>
      <c r="H39" s="57">
        <v>1282.0509999999999</v>
      </c>
      <c r="I39" s="428"/>
      <c r="J39" s="40">
        <v>12.222</v>
      </c>
      <c r="K39" s="40">
        <v>12.715</v>
      </c>
      <c r="L39" s="20"/>
      <c r="M39" s="40">
        <v>9.5329999999999995</v>
      </c>
      <c r="N39" s="40">
        <v>9.9179999999999993</v>
      </c>
      <c r="O39" s="20"/>
      <c r="P39" s="20"/>
      <c r="Q39" s="20"/>
      <c r="R39" s="162"/>
      <c r="S39" s="162"/>
      <c r="T39" s="162"/>
      <c r="U39" s="162"/>
      <c r="V39" s="162"/>
      <c r="W39" s="162"/>
      <c r="X39" s="162"/>
      <c r="Y39" s="162"/>
      <c r="Z39" s="162"/>
      <c r="AA39" s="162"/>
    </row>
    <row r="40" spans="2:27" ht="15.5" thickTop="1" thickBot="1" x14ac:dyDescent="0.4">
      <c r="B40" s="2001"/>
      <c r="C40" s="23" t="s">
        <v>602</v>
      </c>
      <c r="D40" s="28">
        <v>2020</v>
      </c>
      <c r="E40" s="40">
        <v>26.8</v>
      </c>
      <c r="F40" s="40">
        <v>29.7</v>
      </c>
      <c r="G40" s="40">
        <v>794</v>
      </c>
      <c r="H40" s="57">
        <v>1259.4459999999999</v>
      </c>
      <c r="I40" s="428"/>
      <c r="J40" s="40">
        <v>7.444</v>
      </c>
      <c r="K40" s="40">
        <v>8.25</v>
      </c>
      <c r="L40" s="20"/>
      <c r="M40" s="40">
        <v>5.9109999999999996</v>
      </c>
      <c r="N40" s="40">
        <v>6.5510000000000002</v>
      </c>
      <c r="O40" s="20"/>
      <c r="P40" s="20"/>
      <c r="Q40" s="20"/>
      <c r="R40" s="162"/>
      <c r="S40" s="162"/>
      <c r="T40" s="162"/>
      <c r="U40" s="162"/>
      <c r="V40" s="162"/>
      <c r="W40" s="162"/>
      <c r="X40" s="162"/>
      <c r="Y40" s="162"/>
      <c r="Z40" s="162"/>
      <c r="AA40" s="162"/>
    </row>
    <row r="41" spans="2:27" ht="15.5" thickTop="1" thickBot="1" x14ac:dyDescent="0.4">
      <c r="B41" s="2001"/>
      <c r="C41" s="23" t="s">
        <v>2198</v>
      </c>
      <c r="D41" s="28">
        <v>2020</v>
      </c>
      <c r="E41" s="40">
        <v>36.299999999999997</v>
      </c>
      <c r="F41" s="40">
        <v>39.628999999999998</v>
      </c>
      <c r="G41" s="40">
        <v>750</v>
      </c>
      <c r="H41" s="57">
        <v>1333.3330000000001</v>
      </c>
      <c r="I41" s="428"/>
      <c r="J41" s="40">
        <v>10.083</v>
      </c>
      <c r="K41" s="40">
        <v>11.007999999999999</v>
      </c>
      <c r="L41" s="20"/>
      <c r="M41" s="40">
        <v>7.5629999999999997</v>
      </c>
      <c r="N41" s="40">
        <v>8.2560000000000002</v>
      </c>
      <c r="O41" s="20"/>
      <c r="P41" s="20"/>
      <c r="Q41" s="20"/>
      <c r="R41" s="162"/>
      <c r="S41" s="162"/>
      <c r="T41" s="162"/>
      <c r="U41" s="162"/>
      <c r="V41" s="162"/>
      <c r="W41" s="162"/>
      <c r="X41" s="162"/>
      <c r="Y41" s="162"/>
      <c r="Z41" s="162"/>
      <c r="AA41" s="162"/>
    </row>
    <row r="42" spans="2:27" ht="15.5" thickTop="1" thickBot="1" x14ac:dyDescent="0.4">
      <c r="B42" s="2001"/>
      <c r="C42" s="23" t="s">
        <v>570</v>
      </c>
      <c r="D42" s="28">
        <v>2020</v>
      </c>
      <c r="E42" s="40">
        <v>20</v>
      </c>
      <c r="F42" s="40">
        <v>22.161999999999999</v>
      </c>
      <c r="G42" s="40">
        <v>1.1499999999999999</v>
      </c>
      <c r="H42" s="57">
        <v>869565.21699999995</v>
      </c>
      <c r="I42" s="428"/>
      <c r="J42" s="40">
        <v>5.556</v>
      </c>
      <c r="K42" s="40">
        <v>6.1559999999999997</v>
      </c>
      <c r="L42" s="20"/>
      <c r="M42" s="40">
        <v>6.0000000000000001E-3</v>
      </c>
      <c r="N42" s="40">
        <v>7.0000000000000001E-3</v>
      </c>
      <c r="O42" s="20"/>
      <c r="P42" s="20"/>
      <c r="Q42" s="20"/>
      <c r="R42" s="162"/>
      <c r="S42" s="162"/>
      <c r="T42" s="162"/>
      <c r="U42" s="162"/>
      <c r="V42" s="162"/>
      <c r="W42" s="162"/>
      <c r="X42" s="162"/>
      <c r="Y42" s="162"/>
      <c r="Z42" s="162"/>
      <c r="AA42" s="162"/>
    </row>
    <row r="43" spans="2:27" ht="15.5" thickTop="1" thickBot="1" x14ac:dyDescent="0.4">
      <c r="B43" s="2001"/>
      <c r="C43" s="23" t="s">
        <v>2199</v>
      </c>
      <c r="D43" s="28">
        <v>2020</v>
      </c>
      <c r="E43" s="40">
        <v>49</v>
      </c>
      <c r="F43" s="40">
        <v>54.295999999999999</v>
      </c>
      <c r="G43" s="40">
        <v>0.72499999999999998</v>
      </c>
      <c r="H43" s="57">
        <v>1379355.673</v>
      </c>
      <c r="I43" s="428"/>
      <c r="J43" s="40">
        <v>13.611000000000001</v>
      </c>
      <c r="K43" s="40">
        <v>15.082000000000001</v>
      </c>
      <c r="L43" s="20"/>
      <c r="M43" s="40">
        <v>0.01</v>
      </c>
      <c r="N43" s="40">
        <v>1.0999999999999999E-2</v>
      </c>
      <c r="O43" s="20"/>
      <c r="P43" s="20"/>
      <c r="Q43" s="20"/>
      <c r="R43" s="162"/>
      <c r="S43" s="162"/>
      <c r="T43" s="162"/>
      <c r="U43" s="162"/>
      <c r="V43" s="162"/>
      <c r="W43" s="162"/>
      <c r="X43" s="162"/>
      <c r="Y43" s="162"/>
      <c r="Z43" s="162"/>
      <c r="AA43" s="162"/>
    </row>
    <row r="44" spans="2:27" ht="15.5" thickTop="1" thickBot="1" x14ac:dyDescent="0.4">
      <c r="B44" s="2001"/>
      <c r="C44" s="23" t="s">
        <v>1704</v>
      </c>
      <c r="D44" s="28">
        <v>2020</v>
      </c>
      <c r="E44" s="40">
        <v>44.758000000000003</v>
      </c>
      <c r="F44" s="40">
        <v>49.594999999999999</v>
      </c>
      <c r="G44" s="40">
        <v>175</v>
      </c>
      <c r="H44" s="57">
        <v>5714.2860000000001</v>
      </c>
      <c r="I44" s="428"/>
      <c r="J44" s="40">
        <v>12.433</v>
      </c>
      <c r="K44" s="40">
        <v>13.776</v>
      </c>
      <c r="L44" s="20"/>
      <c r="M44" s="40">
        <v>2.1760000000000002</v>
      </c>
      <c r="N44" s="40">
        <v>2.411</v>
      </c>
      <c r="O44" s="20"/>
      <c r="P44" s="20"/>
      <c r="Q44" s="20"/>
      <c r="R44" s="162"/>
      <c r="S44" s="162"/>
      <c r="T44" s="162"/>
      <c r="U44" s="162"/>
      <c r="V44" s="162"/>
      <c r="W44" s="162"/>
      <c r="X44" s="162"/>
      <c r="Y44" s="162"/>
      <c r="Z44" s="162"/>
      <c r="AA44" s="162"/>
    </row>
    <row r="45" spans="2:27" ht="15.5" thickTop="1" thickBot="1" x14ac:dyDescent="0.4">
      <c r="B45" s="2001"/>
      <c r="C45" s="23" t="s">
        <v>2200</v>
      </c>
      <c r="D45" s="28">
        <v>2020</v>
      </c>
      <c r="E45" s="40">
        <v>13.468</v>
      </c>
      <c r="F45" s="40">
        <v>15.845000000000001</v>
      </c>
      <c r="G45" s="40">
        <v>160</v>
      </c>
      <c r="H45" s="57">
        <v>6250</v>
      </c>
      <c r="I45" s="428"/>
      <c r="J45" s="40">
        <v>3.7410000000000001</v>
      </c>
      <c r="K45" s="40">
        <v>4.4009999999999998</v>
      </c>
      <c r="L45" s="20"/>
      <c r="M45" s="51"/>
      <c r="N45" s="51"/>
      <c r="O45" s="20"/>
      <c r="P45" s="20"/>
      <c r="Q45" s="20"/>
      <c r="R45" s="162"/>
      <c r="S45" s="162"/>
      <c r="T45" s="162"/>
      <c r="U45" s="162"/>
      <c r="V45" s="162"/>
      <c r="W45" s="162"/>
      <c r="X45" s="162"/>
      <c r="Y45" s="162"/>
      <c r="Z45" s="162"/>
      <c r="AA45" s="162"/>
    </row>
    <row r="46" spans="2:27" ht="15.5" thickTop="1" thickBot="1" x14ac:dyDescent="0.4">
      <c r="B46" s="2001"/>
      <c r="C46" s="23" t="s">
        <v>2201</v>
      </c>
      <c r="D46" s="28">
        <v>2020</v>
      </c>
      <c r="E46" s="40">
        <v>12.3</v>
      </c>
      <c r="F46" s="40">
        <v>13.629</v>
      </c>
      <c r="G46" s="40">
        <v>1.3</v>
      </c>
      <c r="H46" s="57">
        <v>769230.76899999997</v>
      </c>
      <c r="I46" s="428"/>
      <c r="J46" s="40">
        <v>3.4169999999999998</v>
      </c>
      <c r="K46" s="40">
        <v>3.786</v>
      </c>
      <c r="L46" s="20"/>
      <c r="M46" s="40">
        <v>4.0000000000000001E-3</v>
      </c>
      <c r="N46" s="40">
        <v>5.0000000000000001E-3</v>
      </c>
      <c r="O46" s="20"/>
      <c r="P46" s="20"/>
      <c r="Q46" s="20"/>
      <c r="R46" s="162"/>
      <c r="S46" s="162"/>
      <c r="T46" s="162"/>
      <c r="U46" s="162"/>
      <c r="V46" s="162"/>
      <c r="W46" s="162"/>
      <c r="X46" s="162"/>
      <c r="Y46" s="162"/>
      <c r="Z46" s="162"/>
      <c r="AA46" s="162"/>
    </row>
    <row r="47" spans="2:27" ht="15.5" thickTop="1" thickBot="1" x14ac:dyDescent="0.4">
      <c r="B47" s="2001"/>
      <c r="C47" s="23" t="s">
        <v>1754</v>
      </c>
      <c r="D47" s="28">
        <v>2020</v>
      </c>
      <c r="E47" s="40">
        <v>44.758000000000003</v>
      </c>
      <c r="F47" s="40">
        <v>49.594999999999999</v>
      </c>
      <c r="G47" s="40">
        <v>452.48899999999998</v>
      </c>
      <c r="H47" s="57">
        <v>2210</v>
      </c>
      <c r="I47" s="428"/>
      <c r="J47" s="40">
        <v>12.433</v>
      </c>
      <c r="K47" s="40">
        <v>13.776</v>
      </c>
      <c r="L47" s="20"/>
      <c r="M47" s="40">
        <v>5.6260000000000003</v>
      </c>
      <c r="N47" s="40">
        <v>6.234</v>
      </c>
      <c r="O47" s="20"/>
      <c r="P47" s="20"/>
      <c r="Q47" s="20"/>
      <c r="R47" s="162"/>
      <c r="S47" s="162"/>
      <c r="T47" s="162"/>
      <c r="U47" s="162"/>
      <c r="V47" s="162"/>
      <c r="W47" s="162"/>
      <c r="X47" s="162"/>
      <c r="Y47" s="162"/>
      <c r="Z47" s="162"/>
      <c r="AA47" s="162"/>
    </row>
    <row r="48" spans="2:27" ht="15.5" thickTop="1" thickBot="1" x14ac:dyDescent="0.4">
      <c r="B48" s="2001"/>
      <c r="C48" s="23" t="s">
        <v>2202</v>
      </c>
      <c r="D48" s="28">
        <v>2020</v>
      </c>
      <c r="E48" s="40">
        <v>13.6</v>
      </c>
      <c r="F48" s="40">
        <v>14.760999999999999</v>
      </c>
      <c r="G48" s="40">
        <v>253</v>
      </c>
      <c r="H48" s="57">
        <v>3952.569</v>
      </c>
      <c r="I48" s="162"/>
      <c r="J48" s="40">
        <v>3.778</v>
      </c>
      <c r="K48" s="40">
        <v>4.0999999999999996</v>
      </c>
      <c r="L48" s="20"/>
      <c r="M48" s="58"/>
      <c r="N48" s="51"/>
      <c r="O48" s="20"/>
      <c r="P48" s="20"/>
      <c r="Q48" s="20"/>
      <c r="R48" s="162"/>
      <c r="S48" s="162"/>
      <c r="T48" s="162"/>
      <c r="U48" s="162"/>
      <c r="V48" s="162"/>
      <c r="W48" s="162"/>
      <c r="X48" s="162"/>
      <c r="Y48" s="162"/>
      <c r="Z48" s="162"/>
      <c r="AA48" s="162"/>
    </row>
    <row r="49" spans="2:27" ht="15.5" thickTop="1" thickBot="1" x14ac:dyDescent="0.4">
      <c r="B49" s="2001"/>
      <c r="C49" s="23" t="s">
        <v>2203</v>
      </c>
      <c r="D49" s="28">
        <v>2020</v>
      </c>
      <c r="E49" s="40">
        <v>14.71</v>
      </c>
      <c r="F49" s="40">
        <v>16.256</v>
      </c>
      <c r="G49" s="40">
        <v>425</v>
      </c>
      <c r="H49" s="57">
        <v>2352.9409999999998</v>
      </c>
      <c r="I49" s="162"/>
      <c r="J49" s="40">
        <v>4.0860000000000003</v>
      </c>
      <c r="K49" s="40">
        <v>4.516</v>
      </c>
      <c r="L49" s="20"/>
      <c r="M49" s="59"/>
      <c r="N49" s="55"/>
      <c r="O49" s="20"/>
      <c r="P49" s="20"/>
      <c r="Q49" s="20"/>
      <c r="R49" s="162"/>
      <c r="S49" s="162"/>
      <c r="T49" s="162"/>
      <c r="U49" s="162"/>
      <c r="V49" s="162"/>
      <c r="W49" s="162"/>
      <c r="X49" s="162"/>
      <c r="Y49" s="162"/>
      <c r="Z49" s="162"/>
      <c r="AA49" s="162"/>
    </row>
    <row r="50" spans="2:27" ht="15.5" thickTop="1" thickBot="1" x14ac:dyDescent="0.4">
      <c r="B50" s="2000"/>
      <c r="C50" s="42" t="s">
        <v>2204</v>
      </c>
      <c r="D50" s="27">
        <v>2020</v>
      </c>
      <c r="E50" s="43">
        <v>16.850000000000001</v>
      </c>
      <c r="F50" s="43">
        <v>18.288</v>
      </c>
      <c r="G50" s="54">
        <v>650</v>
      </c>
      <c r="H50" s="52">
        <v>1538.462</v>
      </c>
      <c r="I50" s="162"/>
      <c r="J50" s="43">
        <v>4.681</v>
      </c>
      <c r="K50" s="43">
        <v>5.08</v>
      </c>
      <c r="L50" s="162"/>
      <c r="M50" s="56"/>
      <c r="N50" s="56"/>
      <c r="O50" s="20"/>
      <c r="P50" s="20"/>
      <c r="Q50" s="20"/>
      <c r="R50" s="162"/>
      <c r="S50" s="162"/>
      <c r="T50" s="162"/>
      <c r="U50" s="162"/>
      <c r="V50" s="162"/>
      <c r="W50" s="162"/>
      <c r="X50" s="162"/>
      <c r="Y50" s="162"/>
      <c r="Z50" s="162"/>
      <c r="AA50" s="162"/>
    </row>
    <row r="51" spans="2:27" ht="15.5" thickTop="1" thickBot="1" x14ac:dyDescent="0.4">
      <c r="B51" s="162"/>
      <c r="C51" s="162"/>
      <c r="D51" s="429"/>
      <c r="E51" s="162"/>
      <c r="F51" s="162"/>
      <c r="G51" s="162"/>
      <c r="H51" s="430"/>
      <c r="I51" s="162"/>
      <c r="J51" s="162"/>
      <c r="K51" s="162"/>
      <c r="L51" s="20"/>
      <c r="M51" s="20"/>
      <c r="N51" s="20"/>
      <c r="O51" s="20"/>
      <c r="P51" s="20"/>
      <c r="Q51" s="20"/>
      <c r="R51" s="162"/>
      <c r="S51" s="162"/>
      <c r="T51" s="162"/>
      <c r="U51" s="162"/>
      <c r="V51" s="162"/>
      <c r="W51" s="162"/>
      <c r="X51" s="162"/>
      <c r="Y51" s="162"/>
      <c r="Z51" s="162"/>
      <c r="AA51" s="162"/>
    </row>
    <row r="52" spans="2:27" ht="15" thickTop="1" x14ac:dyDescent="0.35">
      <c r="B52" s="162"/>
      <c r="C52" s="431"/>
      <c r="D52" s="23" t="s">
        <v>469</v>
      </c>
      <c r="E52" s="23" t="s">
        <v>2172</v>
      </c>
      <c r="F52" s="23" t="s">
        <v>2173</v>
      </c>
      <c r="G52" s="23" t="s">
        <v>2174</v>
      </c>
      <c r="H52" s="23" t="s">
        <v>2175</v>
      </c>
      <c r="I52" s="162"/>
      <c r="J52" s="23" t="s">
        <v>2172</v>
      </c>
      <c r="K52" s="23" t="s">
        <v>2173</v>
      </c>
      <c r="L52" s="20"/>
      <c r="M52" s="23" t="s">
        <v>2172</v>
      </c>
      <c r="N52" s="23" t="s">
        <v>2173</v>
      </c>
      <c r="O52" s="20"/>
      <c r="P52" s="20"/>
      <c r="Q52" s="20"/>
      <c r="R52" s="162"/>
      <c r="S52" s="162"/>
      <c r="T52" s="162"/>
      <c r="U52" s="162"/>
      <c r="V52" s="162"/>
      <c r="W52" s="162"/>
      <c r="X52" s="162"/>
      <c r="Y52" s="162"/>
      <c r="Z52" s="162"/>
      <c r="AA52" s="162"/>
    </row>
    <row r="53" spans="2:27" ht="17" thickBot="1" x14ac:dyDescent="0.4">
      <c r="B53" s="162"/>
      <c r="C53" s="431"/>
      <c r="D53" s="35"/>
      <c r="E53" s="35" t="s">
        <v>2176</v>
      </c>
      <c r="F53" s="35" t="s">
        <v>2176</v>
      </c>
      <c r="G53" s="35" t="s">
        <v>2194</v>
      </c>
      <c r="H53" s="50" t="s">
        <v>2178</v>
      </c>
      <c r="I53" s="162"/>
      <c r="J53" s="38" t="s">
        <v>2179</v>
      </c>
      <c r="K53" s="38" t="s">
        <v>2179</v>
      </c>
      <c r="L53" s="20"/>
      <c r="M53" s="38" t="s">
        <v>2180</v>
      </c>
      <c r="N53" s="38" t="s">
        <v>2180</v>
      </c>
      <c r="O53" s="20"/>
      <c r="P53" s="20"/>
      <c r="Q53" s="20"/>
      <c r="R53" s="162"/>
      <c r="S53" s="162"/>
      <c r="T53" s="162"/>
      <c r="U53" s="162"/>
      <c r="V53" s="162"/>
      <c r="W53" s="162"/>
      <c r="X53" s="162"/>
      <c r="Y53" s="162"/>
      <c r="Z53" s="162"/>
      <c r="AA53" s="162"/>
    </row>
    <row r="54" spans="2:27" ht="16.5" thickTop="1" x14ac:dyDescent="0.35">
      <c r="B54" s="1999" t="s">
        <v>2205</v>
      </c>
      <c r="C54" s="23" t="s">
        <v>2206</v>
      </c>
      <c r="D54" s="22">
        <v>2020</v>
      </c>
      <c r="E54" s="40">
        <v>50</v>
      </c>
      <c r="F54" s="40">
        <v>55.404000000000003</v>
      </c>
      <c r="G54" s="40">
        <v>0.71599999999999997</v>
      </c>
      <c r="H54" s="57">
        <v>1397112.108</v>
      </c>
      <c r="I54" s="162"/>
      <c r="J54" s="40">
        <v>13.888999999999999</v>
      </c>
      <c r="K54" s="40">
        <v>15.39</v>
      </c>
      <c r="L54" s="20"/>
      <c r="M54" s="40">
        <v>0.01</v>
      </c>
      <c r="N54" s="40">
        <v>1.0999999999999999E-2</v>
      </c>
      <c r="O54" s="20"/>
      <c r="P54" s="20"/>
      <c r="Q54" s="20"/>
      <c r="R54" s="162"/>
      <c r="S54" s="162"/>
      <c r="T54" s="162"/>
      <c r="U54" s="162"/>
      <c r="V54" s="162"/>
      <c r="W54" s="162"/>
      <c r="X54" s="162"/>
      <c r="Y54" s="162"/>
      <c r="Z54" s="162"/>
      <c r="AA54" s="162"/>
    </row>
    <row r="55" spans="2:27" ht="16.5" thickBot="1" x14ac:dyDescent="0.4">
      <c r="B55" s="2000"/>
      <c r="C55" s="38" t="s">
        <v>2207</v>
      </c>
      <c r="D55" s="27">
        <v>2020</v>
      </c>
      <c r="E55" s="43">
        <v>0</v>
      </c>
      <c r="F55" s="43">
        <v>0</v>
      </c>
      <c r="G55" s="54">
        <v>1.964</v>
      </c>
      <c r="H55" s="52">
        <v>509290.37800000003</v>
      </c>
      <c r="I55" s="162"/>
      <c r="J55" s="43">
        <v>0</v>
      </c>
      <c r="K55" s="43">
        <v>0</v>
      </c>
      <c r="L55" s="20"/>
      <c r="M55" s="43">
        <v>0</v>
      </c>
      <c r="N55" s="43">
        <v>0</v>
      </c>
      <c r="O55" s="20"/>
      <c r="P55" s="20"/>
      <c r="Q55" s="20"/>
      <c r="R55" s="162"/>
      <c r="S55" s="162"/>
      <c r="T55" s="162"/>
      <c r="U55" s="162"/>
      <c r="V55" s="162"/>
      <c r="W55" s="162"/>
      <c r="X55" s="162"/>
      <c r="Y55" s="162"/>
      <c r="Z55" s="162"/>
      <c r="AA55" s="162"/>
    </row>
    <row r="56" spans="2:27" ht="15" thickTop="1" x14ac:dyDescent="0.35">
      <c r="B56" s="20"/>
      <c r="C56" s="20"/>
      <c r="D56" s="20"/>
      <c r="E56" s="20"/>
      <c r="F56" s="20"/>
      <c r="G56" s="20"/>
      <c r="H56" s="430"/>
      <c r="I56" s="20"/>
      <c r="J56" s="20"/>
      <c r="K56" s="20"/>
      <c r="L56" s="20"/>
      <c r="M56" s="20"/>
      <c r="N56" s="20"/>
      <c r="O56" s="20"/>
      <c r="P56" s="20"/>
      <c r="Q56" s="20"/>
      <c r="R56" s="20"/>
      <c r="S56" s="20"/>
      <c r="T56" s="20"/>
      <c r="U56" s="20"/>
      <c r="V56" s="20"/>
      <c r="W56" s="20"/>
      <c r="X56" s="20"/>
      <c r="Y56" s="20"/>
      <c r="Z56" s="20"/>
      <c r="AA56" s="20"/>
    </row>
    <row r="57" spans="2:27" x14ac:dyDescent="0.35">
      <c r="B57" s="2002" t="s">
        <v>2208</v>
      </c>
      <c r="C57" s="2002"/>
      <c r="D57" s="2002"/>
      <c r="E57" s="2002"/>
      <c r="F57" s="2002"/>
      <c r="G57" s="2002"/>
      <c r="H57" s="2002"/>
      <c r="I57" s="2002"/>
      <c r="J57" s="2002"/>
      <c r="K57" s="2002"/>
      <c r="L57" s="2002"/>
      <c r="M57" s="2002"/>
      <c r="N57" s="2002"/>
      <c r="O57" s="2002"/>
      <c r="P57" s="2002"/>
      <c r="Q57" s="20"/>
      <c r="R57" s="20"/>
      <c r="S57" s="20"/>
      <c r="T57" s="20"/>
      <c r="U57" s="20"/>
      <c r="V57" s="20"/>
      <c r="W57" s="20"/>
      <c r="X57" s="20"/>
      <c r="Y57" s="20"/>
      <c r="Z57" s="20"/>
      <c r="AA57" s="20"/>
    </row>
    <row r="58" spans="2:27" ht="15" thickBot="1" x14ac:dyDescent="0.4">
      <c r="B58" s="162"/>
      <c r="C58" s="162"/>
      <c r="D58" s="162"/>
      <c r="E58" s="162"/>
      <c r="F58" s="162"/>
      <c r="G58" s="162"/>
      <c r="H58" s="162"/>
      <c r="I58" s="162"/>
      <c r="J58" s="162"/>
      <c r="K58" s="162"/>
      <c r="L58" s="162"/>
      <c r="M58" s="162"/>
      <c r="N58" s="162"/>
      <c r="O58" s="162"/>
      <c r="P58" s="20"/>
      <c r="Q58" s="20"/>
      <c r="R58" s="20"/>
      <c r="S58" s="20"/>
      <c r="T58" s="20"/>
      <c r="U58" s="20"/>
      <c r="V58" s="20"/>
      <c r="W58" s="20"/>
      <c r="X58" s="20"/>
      <c r="Y58" s="20"/>
      <c r="Z58" s="20"/>
      <c r="AA58" s="20"/>
    </row>
    <row r="59" spans="2:27" x14ac:dyDescent="0.35">
      <c r="C59" s="162"/>
      <c r="D59" s="162"/>
      <c r="E59" s="507" t="s">
        <v>2172</v>
      </c>
      <c r="F59" s="512" t="s">
        <v>2173</v>
      </c>
      <c r="G59" s="512" t="s">
        <v>2174</v>
      </c>
      <c r="H59" s="508" t="s">
        <v>2174</v>
      </c>
      <c r="I59" s="162"/>
      <c r="J59" s="507" t="s">
        <v>2172</v>
      </c>
      <c r="K59" s="508" t="s">
        <v>2173</v>
      </c>
      <c r="L59" s="20"/>
      <c r="M59" s="507" t="s">
        <v>2172</v>
      </c>
      <c r="N59" s="508" t="s">
        <v>2173</v>
      </c>
      <c r="O59" s="162"/>
      <c r="P59" s="20"/>
      <c r="Q59" s="20"/>
      <c r="R59" s="20"/>
      <c r="S59" s="20"/>
      <c r="T59" s="20"/>
      <c r="U59" s="20"/>
      <c r="V59" s="20"/>
      <c r="W59" s="20"/>
      <c r="X59" s="20"/>
      <c r="Y59" s="20"/>
      <c r="Z59" s="20"/>
      <c r="AA59" s="20"/>
    </row>
    <row r="60" spans="2:27" ht="17" thickBot="1" x14ac:dyDescent="0.4">
      <c r="E60" s="517" t="s">
        <v>2176</v>
      </c>
      <c r="F60" s="518" t="s">
        <v>2176</v>
      </c>
      <c r="G60" s="518" t="s">
        <v>2194</v>
      </c>
      <c r="H60" s="519" t="s">
        <v>2178</v>
      </c>
      <c r="I60" s="162"/>
      <c r="J60" s="509" t="s">
        <v>2179</v>
      </c>
      <c r="K60" s="510" t="s">
        <v>2179</v>
      </c>
      <c r="L60" s="20"/>
      <c r="M60" s="509" t="s">
        <v>2180</v>
      </c>
      <c r="N60" s="510" t="s">
        <v>2180</v>
      </c>
    </row>
    <row r="61" spans="2:27" x14ac:dyDescent="0.35">
      <c r="C61" s="520" t="s">
        <v>595</v>
      </c>
      <c r="D61" s="503"/>
      <c r="E61" s="515"/>
      <c r="F61" s="516"/>
      <c r="G61" s="513">
        <f>G26</f>
        <v>529.25</v>
      </c>
      <c r="H61" s="521">
        <f>H26</f>
        <v>1889.4649999999999</v>
      </c>
      <c r="J61" s="511"/>
      <c r="K61" s="503"/>
      <c r="M61" s="511"/>
      <c r="N61" s="503"/>
    </row>
    <row r="62" spans="2:27" ht="15" thickBot="1" x14ac:dyDescent="0.4">
      <c r="C62" s="504" t="s">
        <v>598</v>
      </c>
      <c r="D62" s="506"/>
      <c r="E62" s="504"/>
      <c r="F62" s="505"/>
      <c r="G62" s="514">
        <f>G26</f>
        <v>529.25</v>
      </c>
      <c r="H62" s="522">
        <f>H26</f>
        <v>1889.4649999999999</v>
      </c>
      <c r="J62" s="504"/>
      <c r="K62" s="506"/>
      <c r="M62" s="504"/>
      <c r="N62" s="506"/>
    </row>
  </sheetData>
  <sheetProtection algorithmName="SHA-512" hashValue="TIKi0QUa2N/af3ZcQCdQb999nK6Jk/WF9JAPLTzgPvEIrb1O+dTOeLGu9wJPSKGLTQI6U3XDWDvSxD/QqxPU1w==" saltValue="llEYd3F12fjjV2PGytcCaQ==" spinCount="100000" sheet="1" objects="1" scenarios="1"/>
  <mergeCells count="7">
    <mergeCell ref="B54:B55"/>
    <mergeCell ref="B13:B34"/>
    <mergeCell ref="B57:P57"/>
    <mergeCell ref="B38:B50"/>
    <mergeCell ref="A1:F1"/>
    <mergeCell ref="B6:P6"/>
    <mergeCell ref="C36:C37"/>
  </mergeCells>
  <hyperlinks>
    <hyperlink ref="B9" r:id="rId1" xr:uid="{1708641D-783D-46E2-BBE8-527A3D28FDA3}"/>
    <hyperlink ref="B8" r:id="rId2" xr:uid="{023A2DF1-A1BA-4C73-99BE-B5BAA97D0477}"/>
  </hyperlinks>
  <pageMargins left="0.7" right="0.7" top="0.75" bottom="0.75" header="0.3" footer="0.3"/>
  <pageSetup paperSize="9" orientation="portrait" horizontalDpi="360" verticalDpi="360"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11D1D-2B7D-4AA0-B426-CB82F8842E2E}">
  <sheetPr codeName="Sheet20"/>
  <dimension ref="A1:P30"/>
  <sheetViews>
    <sheetView topLeftCell="G5" workbookViewId="0">
      <selection activeCell="M25" sqref="M25"/>
    </sheetView>
  </sheetViews>
  <sheetFormatPr defaultColWidth="8.81640625" defaultRowHeight="14.5" x14ac:dyDescent="0.35"/>
  <cols>
    <col min="1" max="1" width="20.1796875" customWidth="1"/>
    <col min="2" max="2" width="16.26953125" customWidth="1"/>
    <col min="3" max="4" width="10.26953125" customWidth="1"/>
    <col min="5" max="5" width="17.7265625" customWidth="1"/>
    <col min="6" max="6" width="22.453125" customWidth="1"/>
    <col min="7" max="7" width="23.453125" bestFit="1" customWidth="1"/>
    <col min="8" max="8" width="12.453125" bestFit="1" customWidth="1"/>
    <col min="9" max="9" width="12.26953125" bestFit="1" customWidth="1"/>
    <col min="10" max="10" width="14" customWidth="1"/>
    <col min="11" max="11" width="13.453125" customWidth="1"/>
    <col min="12" max="12" width="30.26953125" customWidth="1"/>
    <col min="13" max="13" width="15.7265625" customWidth="1"/>
    <col min="16" max="16" width="12.453125" style="375" customWidth="1"/>
  </cols>
  <sheetData>
    <row r="1" spans="1:16" x14ac:dyDescent="0.35">
      <c r="A1" s="2008" t="s">
        <v>2209</v>
      </c>
      <c r="B1" s="2008"/>
      <c r="C1" s="2008"/>
      <c r="D1" s="2008"/>
      <c r="E1" s="2008"/>
      <c r="F1" s="2008"/>
      <c r="G1" s="2008"/>
      <c r="H1" s="2008"/>
      <c r="I1" s="2008"/>
      <c r="J1" s="2008"/>
      <c r="L1" s="2008" t="s">
        <v>2210</v>
      </c>
      <c r="M1" s="2008"/>
      <c r="N1" s="2008"/>
      <c r="O1" s="2008"/>
    </row>
    <row r="2" spans="1:16" x14ac:dyDescent="0.35">
      <c r="A2" s="2008"/>
      <c r="B2" s="2008"/>
      <c r="C2" s="2008"/>
      <c r="D2" s="2008"/>
      <c r="E2" s="2008"/>
      <c r="F2" s="2008"/>
      <c r="G2" s="2008"/>
      <c r="H2" s="2008"/>
      <c r="I2" s="2008"/>
      <c r="J2" s="2008"/>
      <c r="L2" s="2008"/>
      <c r="M2" s="2008"/>
      <c r="N2" s="2008"/>
      <c r="O2" s="2008"/>
    </row>
    <row r="3" spans="1:16" x14ac:dyDescent="0.35">
      <c r="A3" s="2008"/>
      <c r="B3" s="2008"/>
      <c r="C3" s="2008"/>
      <c r="D3" s="2008"/>
      <c r="E3" s="2008"/>
      <c r="F3" s="2008"/>
      <c r="G3" s="2008"/>
      <c r="H3" s="2008"/>
      <c r="I3" s="2008"/>
      <c r="J3" s="2008"/>
      <c r="L3" s="2008"/>
      <c r="M3" s="2008"/>
      <c r="N3" s="2008"/>
      <c r="O3" s="2008"/>
    </row>
    <row r="4" spans="1:16" ht="15" thickBot="1" x14ac:dyDescent="0.4"/>
    <row r="5" spans="1:16" ht="58.5" thickBot="1" x14ac:dyDescent="0.4">
      <c r="A5" s="221"/>
      <c r="B5" s="224" t="s">
        <v>2211</v>
      </c>
      <c r="C5" s="224" t="s">
        <v>2212</v>
      </c>
      <c r="D5" s="224" t="s">
        <v>2213</v>
      </c>
      <c r="E5" s="224" t="s">
        <v>2214</v>
      </c>
      <c r="F5" s="222"/>
      <c r="G5" s="224" t="s">
        <v>2215</v>
      </c>
      <c r="H5" s="224" t="s">
        <v>2216</v>
      </c>
      <c r="I5" s="224" t="s">
        <v>2217</v>
      </c>
      <c r="J5" s="225" t="s">
        <v>2218</v>
      </c>
      <c r="L5" s="602" t="s">
        <v>2219</v>
      </c>
      <c r="M5" s="726" t="s">
        <v>2220</v>
      </c>
      <c r="N5" s="726" t="s">
        <v>2221</v>
      </c>
      <c r="O5" s="726" t="s">
        <v>2222</v>
      </c>
      <c r="P5" s="727" t="s">
        <v>2223</v>
      </c>
    </row>
    <row r="6" spans="1:16" x14ac:dyDescent="0.35">
      <c r="A6" s="175" t="s">
        <v>2224</v>
      </c>
      <c r="B6" s="226"/>
      <c r="C6" s="163">
        <v>1</v>
      </c>
      <c r="D6" s="163">
        <v>0.33</v>
      </c>
      <c r="E6" s="163">
        <v>4660</v>
      </c>
      <c r="F6" s="163" t="s">
        <v>2225</v>
      </c>
      <c r="G6" s="163"/>
      <c r="H6" s="163"/>
      <c r="I6" s="163"/>
      <c r="J6" s="163"/>
      <c r="L6" s="708" t="s">
        <v>823</v>
      </c>
      <c r="M6" s="714">
        <v>900</v>
      </c>
      <c r="N6" s="709">
        <v>900</v>
      </c>
      <c r="O6" s="717">
        <v>1.78</v>
      </c>
      <c r="P6" s="728">
        <v>5</v>
      </c>
    </row>
    <row r="7" spans="1:16" ht="15" thickBot="1" x14ac:dyDescent="0.4">
      <c r="A7" s="176" t="s">
        <v>2226</v>
      </c>
      <c r="B7" s="227"/>
      <c r="C7" s="158">
        <v>1.55</v>
      </c>
      <c r="D7" s="158">
        <v>1</v>
      </c>
      <c r="E7" s="158">
        <v>10200</v>
      </c>
      <c r="F7" s="158" t="s">
        <v>2225</v>
      </c>
      <c r="G7" s="158"/>
      <c r="H7" s="158"/>
      <c r="I7" s="158"/>
      <c r="J7" s="228"/>
      <c r="L7" s="721" t="s">
        <v>824</v>
      </c>
      <c r="M7" s="715">
        <v>1800</v>
      </c>
      <c r="N7" s="236">
        <v>1800</v>
      </c>
      <c r="O7" s="719">
        <v>3.56</v>
      </c>
      <c r="P7" s="728">
        <v>9</v>
      </c>
    </row>
    <row r="8" spans="1:16" ht="15" thickBot="1" x14ac:dyDescent="0.4">
      <c r="A8" s="176" t="s">
        <v>2227</v>
      </c>
      <c r="B8" s="227">
        <v>1.87</v>
      </c>
      <c r="C8" s="158">
        <v>1.56</v>
      </c>
      <c r="D8" s="158">
        <v>0.02</v>
      </c>
      <c r="E8" s="228">
        <f>D8*$E$7</f>
        <v>204</v>
      </c>
      <c r="F8" s="158" t="s">
        <v>2228</v>
      </c>
      <c r="G8" s="158">
        <v>50</v>
      </c>
      <c r="H8" s="158"/>
      <c r="I8" s="169"/>
      <c r="J8" s="229">
        <v>50</v>
      </c>
      <c r="L8" s="721" t="s">
        <v>825</v>
      </c>
      <c r="M8" s="715">
        <v>3600</v>
      </c>
      <c r="N8" s="236">
        <v>3600</v>
      </c>
      <c r="O8" s="719">
        <v>7.12</v>
      </c>
      <c r="P8" s="728">
        <v>22</v>
      </c>
    </row>
    <row r="9" spans="1:16" ht="15" thickBot="1" x14ac:dyDescent="0.4">
      <c r="A9" s="176" t="s">
        <v>821</v>
      </c>
      <c r="B9" s="227">
        <v>1.5</v>
      </c>
      <c r="C9" s="158">
        <v>0.04</v>
      </c>
      <c r="D9" s="169">
        <v>0.08</v>
      </c>
      <c r="E9" s="232">
        <f>D9*$E$7</f>
        <v>816</v>
      </c>
      <c r="F9" s="227" t="s">
        <v>2228</v>
      </c>
      <c r="G9" s="158"/>
      <c r="H9" s="158"/>
      <c r="I9" s="158"/>
      <c r="J9" s="231"/>
      <c r="L9" s="721" t="s">
        <v>826</v>
      </c>
      <c r="M9" s="715">
        <v>9000</v>
      </c>
      <c r="N9" s="236">
        <v>9000</v>
      </c>
      <c r="O9" s="719">
        <v>17.8</v>
      </c>
      <c r="P9" s="728">
        <v>52</v>
      </c>
    </row>
    <row r="10" spans="1:16" x14ac:dyDescent="0.35">
      <c r="A10" s="176" t="s">
        <v>2229</v>
      </c>
      <c r="B10" s="227">
        <v>1.5</v>
      </c>
      <c r="C10" s="158">
        <v>0.03</v>
      </c>
      <c r="D10" s="158">
        <v>0.05</v>
      </c>
      <c r="E10" s="163">
        <f>D10*$E$7</f>
        <v>510</v>
      </c>
      <c r="F10" s="158" t="s">
        <v>2228</v>
      </c>
      <c r="G10" s="158">
        <v>510</v>
      </c>
      <c r="H10" s="158">
        <v>510</v>
      </c>
      <c r="I10" s="169"/>
      <c r="J10" s="175">
        <v>510</v>
      </c>
      <c r="L10" s="721" t="s">
        <v>827</v>
      </c>
      <c r="M10" s="715">
        <v>18000</v>
      </c>
      <c r="N10" s="236">
        <v>18000</v>
      </c>
      <c r="O10" s="719">
        <v>35.61</v>
      </c>
      <c r="P10" s="728">
        <v>105</v>
      </c>
    </row>
    <row r="11" spans="1:16" x14ac:dyDescent="0.35">
      <c r="A11" s="176" t="s">
        <v>815</v>
      </c>
      <c r="B11" s="227">
        <v>1.46</v>
      </c>
      <c r="C11" s="158">
        <v>0</v>
      </c>
      <c r="D11" s="158">
        <v>0.14000000000000001</v>
      </c>
      <c r="E11" s="158">
        <f>D11*$E$7</f>
        <v>1428.0000000000002</v>
      </c>
      <c r="F11" s="158" t="s">
        <v>2228</v>
      </c>
      <c r="G11" s="158">
        <v>2540</v>
      </c>
      <c r="H11" s="158">
        <v>2540</v>
      </c>
      <c r="I11" s="169"/>
      <c r="J11" s="176">
        <v>2540</v>
      </c>
      <c r="L11" s="721" t="s">
        <v>828</v>
      </c>
      <c r="M11" s="716">
        <v>450</v>
      </c>
      <c r="N11" s="398">
        <v>450</v>
      </c>
      <c r="O11" s="719">
        <v>0.89</v>
      </c>
      <c r="P11" s="728">
        <v>3</v>
      </c>
    </row>
    <row r="12" spans="1:16" ht="15" thickBot="1" x14ac:dyDescent="0.4">
      <c r="A12" s="176" t="s">
        <v>2230</v>
      </c>
      <c r="B12" s="227">
        <v>1.52</v>
      </c>
      <c r="C12" s="158">
        <v>0</v>
      </c>
      <c r="D12" s="158">
        <v>0.02</v>
      </c>
      <c r="E12" s="158">
        <f>D12*$E$7</f>
        <v>204</v>
      </c>
      <c r="F12" s="158" t="s">
        <v>2228</v>
      </c>
      <c r="G12" s="158">
        <v>130</v>
      </c>
      <c r="H12" s="158">
        <v>130</v>
      </c>
      <c r="I12" s="230"/>
      <c r="J12" s="177">
        <v>130</v>
      </c>
      <c r="L12" s="237" t="s">
        <v>2231</v>
      </c>
      <c r="M12" s="158"/>
      <c r="N12" s="158"/>
      <c r="O12" s="158"/>
      <c r="P12" s="728"/>
    </row>
    <row r="13" spans="1:16" ht="15" thickBot="1" x14ac:dyDescent="0.4">
      <c r="A13" s="177" t="s">
        <v>2232</v>
      </c>
      <c r="B13" s="227"/>
      <c r="C13" s="158"/>
      <c r="D13" s="158"/>
      <c r="E13" s="158"/>
      <c r="F13" s="158"/>
      <c r="G13" s="158">
        <v>310</v>
      </c>
      <c r="H13" s="169">
        <v>298</v>
      </c>
      <c r="I13" s="229">
        <v>265</v>
      </c>
      <c r="J13" s="226"/>
      <c r="L13" s="235" t="s">
        <v>2233</v>
      </c>
      <c r="M13" s="158">
        <v>350</v>
      </c>
      <c r="N13" s="236">
        <f>M13/2</f>
        <v>175</v>
      </c>
      <c r="O13" s="720">
        <v>0.35</v>
      </c>
      <c r="P13" s="728">
        <v>2.4</v>
      </c>
    </row>
    <row r="14" spans="1:16" x14ac:dyDescent="0.35">
      <c r="L14" s="238" t="s">
        <v>830</v>
      </c>
      <c r="M14" s="158">
        <v>500</v>
      </c>
      <c r="N14" s="236">
        <f>M14/2</f>
        <v>250</v>
      </c>
      <c r="O14" s="720">
        <v>0.49</v>
      </c>
      <c r="P14" s="728">
        <v>4</v>
      </c>
    </row>
    <row r="15" spans="1:16" ht="15" thickBot="1" x14ac:dyDescent="0.4">
      <c r="A15" s="6" t="s">
        <v>2234</v>
      </c>
      <c r="B15" s="1" t="s">
        <v>517</v>
      </c>
      <c r="L15" s="238" t="s">
        <v>831</v>
      </c>
      <c r="M15" s="158">
        <v>700</v>
      </c>
      <c r="N15" s="236">
        <f>M15/2</f>
        <v>350</v>
      </c>
      <c r="O15" s="720">
        <v>0.69</v>
      </c>
      <c r="P15" s="728">
        <v>4</v>
      </c>
    </row>
    <row r="16" spans="1:16" x14ac:dyDescent="0.35">
      <c r="A16" s="626" t="s">
        <v>2227</v>
      </c>
      <c r="B16" s="629">
        <v>0.2</v>
      </c>
      <c r="L16" s="238" t="s">
        <v>832</v>
      </c>
      <c r="M16" s="158">
        <v>3500</v>
      </c>
      <c r="N16" s="236">
        <f>M16/2</f>
        <v>1750</v>
      </c>
      <c r="O16" s="720">
        <v>3.46</v>
      </c>
      <c r="P16" s="728">
        <v>19.8</v>
      </c>
    </row>
    <row r="17" spans="1:16" x14ac:dyDescent="0.35">
      <c r="A17" s="627" t="s">
        <v>821</v>
      </c>
      <c r="B17" s="630">
        <v>2.5000000000000001E-2</v>
      </c>
      <c r="L17" s="238" t="s">
        <v>792</v>
      </c>
      <c r="M17" s="158">
        <v>2000</v>
      </c>
      <c r="N17" s="236">
        <f>M17/2</f>
        <v>1000</v>
      </c>
      <c r="O17" s="720">
        <v>1.98</v>
      </c>
      <c r="P17" s="728">
        <v>18</v>
      </c>
    </row>
    <row r="18" spans="1:16" x14ac:dyDescent="0.35">
      <c r="A18" s="627" t="s">
        <v>2229</v>
      </c>
      <c r="B18" s="630">
        <v>2E-3</v>
      </c>
      <c r="L18" s="239" t="s">
        <v>2235</v>
      </c>
      <c r="M18" s="158"/>
      <c r="N18" s="236"/>
      <c r="O18" s="158"/>
      <c r="P18" s="728"/>
    </row>
    <row r="19" spans="1:16" x14ac:dyDescent="0.35">
      <c r="A19" s="627" t="s">
        <v>815</v>
      </c>
      <c r="B19" s="630">
        <v>2.0000000000000001E-4</v>
      </c>
      <c r="L19" s="238" t="s">
        <v>833</v>
      </c>
      <c r="M19" s="158">
        <v>5000</v>
      </c>
      <c r="N19" s="236">
        <f>M19/2</f>
        <v>2500</v>
      </c>
      <c r="O19" s="720">
        <v>4.95</v>
      </c>
      <c r="P19" s="728">
        <v>93</v>
      </c>
    </row>
    <row r="20" spans="1:16" x14ac:dyDescent="0.35">
      <c r="A20" s="627" t="s">
        <v>2230</v>
      </c>
      <c r="B20" s="631">
        <v>0.05</v>
      </c>
      <c r="L20" s="237" t="s">
        <v>2236</v>
      </c>
      <c r="M20" s="158"/>
      <c r="N20" s="158"/>
      <c r="O20" s="720"/>
      <c r="P20" s="728"/>
    </row>
    <row r="21" spans="1:16" ht="15" thickBot="1" x14ac:dyDescent="0.4">
      <c r="A21" s="628" t="s">
        <v>2232</v>
      </c>
      <c r="B21" s="632">
        <v>0</v>
      </c>
      <c r="L21" s="721" t="s">
        <v>834</v>
      </c>
      <c r="M21" s="716">
        <v>950</v>
      </c>
      <c r="N21" s="236">
        <f>M21/2</f>
        <v>475</v>
      </c>
      <c r="O21" s="720">
        <v>0.94</v>
      </c>
      <c r="P21" s="729">
        <v>6.5</v>
      </c>
    </row>
    <row r="22" spans="1:16" x14ac:dyDescent="0.35">
      <c r="A22" t="s">
        <v>2237</v>
      </c>
      <c r="L22" s="721" t="s">
        <v>835</v>
      </c>
      <c r="M22" s="718">
        <v>2000</v>
      </c>
      <c r="N22" s="236">
        <f>M22/2</f>
        <v>1000</v>
      </c>
      <c r="O22" s="720">
        <v>1.98</v>
      </c>
      <c r="P22" s="730">
        <v>22.5</v>
      </c>
    </row>
    <row r="23" spans="1:16" x14ac:dyDescent="0.35">
      <c r="A23">
        <v>3</v>
      </c>
      <c r="B23" s="219" t="s">
        <v>2238</v>
      </c>
      <c r="L23" s="721" t="s">
        <v>836</v>
      </c>
      <c r="M23" s="718">
        <v>10000</v>
      </c>
      <c r="N23" s="236">
        <f>M23/2</f>
        <v>5000</v>
      </c>
      <c r="O23" s="720">
        <v>9.89</v>
      </c>
      <c r="P23" s="730">
        <v>93.5</v>
      </c>
    </row>
    <row r="24" spans="1:16" x14ac:dyDescent="0.35">
      <c r="A24">
        <v>4</v>
      </c>
      <c r="B24" s="529" t="s">
        <v>2239</v>
      </c>
      <c r="L24" s="722" t="s">
        <v>837</v>
      </c>
      <c r="M24" s="718">
        <v>950</v>
      </c>
      <c r="N24" s="236">
        <f>M24</f>
        <v>950</v>
      </c>
      <c r="O24" s="720">
        <v>1.88</v>
      </c>
      <c r="P24" s="730">
        <v>6.5</v>
      </c>
    </row>
    <row r="25" spans="1:16" x14ac:dyDescent="0.35">
      <c r="A25">
        <v>5</v>
      </c>
      <c r="B25" t="s">
        <v>2240</v>
      </c>
      <c r="L25" s="722" t="s">
        <v>838</v>
      </c>
      <c r="M25" s="718">
        <v>1700</v>
      </c>
      <c r="N25" s="236">
        <f>M25</f>
        <v>1700</v>
      </c>
      <c r="O25" s="720">
        <v>3.36</v>
      </c>
      <c r="P25" s="730">
        <v>10.4</v>
      </c>
    </row>
    <row r="26" spans="1:16" ht="15" thickBot="1" x14ac:dyDescent="0.4">
      <c r="A26">
        <v>6</v>
      </c>
      <c r="B26" t="s">
        <v>2241</v>
      </c>
      <c r="L26" s="723" t="s">
        <v>839</v>
      </c>
      <c r="M26" s="724">
        <v>17000</v>
      </c>
      <c r="N26" s="240">
        <f>M26</f>
        <v>17000</v>
      </c>
      <c r="O26" s="725">
        <v>33.630000000000003</v>
      </c>
      <c r="P26" s="731">
        <v>95</v>
      </c>
    </row>
    <row r="27" spans="1:16" x14ac:dyDescent="0.35">
      <c r="A27">
        <v>1</v>
      </c>
      <c r="B27" s="219" t="s">
        <v>2242</v>
      </c>
    </row>
    <row r="28" spans="1:16" x14ac:dyDescent="0.35">
      <c r="A28">
        <v>2</v>
      </c>
      <c r="B28" t="s">
        <v>2243</v>
      </c>
      <c r="L28" t="s">
        <v>2244</v>
      </c>
    </row>
    <row r="29" spans="1:16" x14ac:dyDescent="0.35">
      <c r="A29">
        <v>7</v>
      </c>
      <c r="B29" t="s">
        <v>2245</v>
      </c>
      <c r="L29" t="s">
        <v>2246</v>
      </c>
    </row>
    <row r="30" spans="1:16" x14ac:dyDescent="0.35">
      <c r="A30">
        <v>8</v>
      </c>
      <c r="B30" t="s">
        <v>2247</v>
      </c>
      <c r="L30" t="s">
        <v>2248</v>
      </c>
    </row>
  </sheetData>
  <sheetProtection algorithmName="SHA-512" hashValue="HBwh/BBw/WnirfIM7cbfLWd7wuokwn4q5ga+UY7VmvVyCTdJTYE5x5nVy7CWpSIOaxlkiDUQC6BkNv5nIMWFKw==" saltValue="tLXbXVbYU+aYezj+yMc86Q==" spinCount="100000" sheet="1" objects="1" scenarios="1"/>
  <mergeCells count="2">
    <mergeCell ref="A1:J3"/>
    <mergeCell ref="L1:O3"/>
  </mergeCells>
  <phoneticPr fontId="10" type="noConversion"/>
  <hyperlinks>
    <hyperlink ref="B27" r:id="rId1" xr:uid="{DCD919AB-D0DE-4D63-969D-73221B9E96A4}"/>
    <hyperlink ref="B23" r:id="rId2" location=":~:text=All%20volatile%20anesthetics%20are%20halogenated,to%20the%20earth's%20ozone%20layer." xr:uid="{FF97B924-B1A4-4F88-99F3-F4AFEA50F220}"/>
    <hyperlink ref="B24" r:id="rId3" xr:uid="{F15F89E2-FCE6-47CB-8427-2A8B0472DA3D}"/>
  </hyperlinks>
  <pageMargins left="0.7" right="0.7" top="0.75" bottom="0.75" header="0.3" footer="0.3"/>
  <pageSetup paperSize="9" orientation="portrait" horizontalDpi="360" verticalDpi="360" r:id="rId4"/>
  <legacyDrawing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F0A42-D266-4DFD-92BF-119E7B7C8069}">
  <sheetPr codeName="Sheet21"/>
  <dimension ref="A1:C19"/>
  <sheetViews>
    <sheetView workbookViewId="0">
      <selection activeCell="A7" sqref="A7:A19"/>
    </sheetView>
  </sheetViews>
  <sheetFormatPr defaultColWidth="8.81640625" defaultRowHeight="14.5" x14ac:dyDescent="0.35"/>
  <cols>
    <col min="1" max="1" width="44.26953125" customWidth="1"/>
    <col min="2" max="2" width="20" customWidth="1"/>
    <col min="3" max="3" width="16.1796875" bestFit="1" customWidth="1"/>
  </cols>
  <sheetData>
    <row r="1" spans="1:3" x14ac:dyDescent="0.35">
      <c r="A1" t="s">
        <v>2249</v>
      </c>
    </row>
    <row r="2" spans="1:3" x14ac:dyDescent="0.35">
      <c r="A2" t="s">
        <v>2250</v>
      </c>
    </row>
    <row r="4" spans="1:3" x14ac:dyDescent="0.35">
      <c r="A4" s="603" t="s">
        <v>2139</v>
      </c>
    </row>
    <row r="5" spans="1:3" ht="25" x14ac:dyDescent="0.35">
      <c r="A5" s="604" t="s">
        <v>2251</v>
      </c>
    </row>
    <row r="6" spans="1:3" x14ac:dyDescent="0.35">
      <c r="A6" s="652" t="s">
        <v>865</v>
      </c>
      <c r="B6" s="652" t="s">
        <v>2252</v>
      </c>
      <c r="C6" s="645" t="s">
        <v>2253</v>
      </c>
    </row>
    <row r="7" spans="1:3" x14ac:dyDescent="0.35">
      <c r="A7" s="653" t="s">
        <v>868</v>
      </c>
      <c r="B7" s="654">
        <v>3.0000000000000001E-3</v>
      </c>
      <c r="C7" s="655">
        <f>IFERROR((B7/'Cover Sheet'!$B$17),"")</f>
        <v>3.0000000000000001E-3</v>
      </c>
    </row>
    <row r="8" spans="1:3" x14ac:dyDescent="0.35">
      <c r="A8" s="653" t="s">
        <v>871</v>
      </c>
      <c r="B8" s="654">
        <v>1.4999999999999999E-2</v>
      </c>
      <c r="C8" s="655">
        <f>IFERROR((B8/'Cover Sheet'!$B$17),"")</f>
        <v>1.4999999999999999E-2</v>
      </c>
    </row>
    <row r="9" spans="1:3" x14ac:dyDescent="0.35">
      <c r="A9" s="653" t="s">
        <v>873</v>
      </c>
      <c r="B9" s="654">
        <v>0.1</v>
      </c>
      <c r="C9" s="655">
        <f>IFERROR((B9/'Cover Sheet'!$B$17),"")</f>
        <v>0.1</v>
      </c>
    </row>
    <row r="10" spans="1:3" x14ac:dyDescent="0.35">
      <c r="A10" s="653" t="s">
        <v>875</v>
      </c>
      <c r="B10" s="654">
        <v>0.17</v>
      </c>
      <c r="C10" s="655">
        <f>IFERROR((B10/'Cover Sheet'!$B$17),"")</f>
        <v>0.17</v>
      </c>
    </row>
    <row r="11" spans="1:3" x14ac:dyDescent="0.35">
      <c r="A11" s="653" t="s">
        <v>878</v>
      </c>
      <c r="B11" s="654">
        <v>0.08</v>
      </c>
      <c r="C11" s="655">
        <f>IFERROR((B11/'Cover Sheet'!$B$17),"")</f>
        <v>0.08</v>
      </c>
    </row>
    <row r="12" spans="1:3" x14ac:dyDescent="0.35">
      <c r="A12" s="653" t="s">
        <v>880</v>
      </c>
      <c r="B12" s="654">
        <v>0.03</v>
      </c>
      <c r="C12" s="655">
        <f>IFERROR((B12/'Cover Sheet'!$B$17),"")</f>
        <v>0.03</v>
      </c>
    </row>
    <row r="13" spans="1:3" x14ac:dyDescent="0.35">
      <c r="A13" s="653" t="s">
        <v>882</v>
      </c>
      <c r="B13" s="654">
        <v>0.06</v>
      </c>
      <c r="C13" s="655">
        <f>IFERROR((B13/'Cover Sheet'!$B$17),"")</f>
        <v>0.06</v>
      </c>
    </row>
    <row r="14" spans="1:3" x14ac:dyDescent="0.35">
      <c r="A14" s="653" t="s">
        <v>884</v>
      </c>
      <c r="B14" s="654">
        <v>0.03</v>
      </c>
      <c r="C14" s="655">
        <f>IFERROR((B14/'Cover Sheet'!$B$17),"")</f>
        <v>0.03</v>
      </c>
    </row>
    <row r="15" spans="1:3" x14ac:dyDescent="0.35">
      <c r="A15" s="653" t="s">
        <v>886</v>
      </c>
      <c r="B15" s="654">
        <v>0.06</v>
      </c>
      <c r="C15" s="655">
        <f>IFERROR((B15/'Cover Sheet'!$B$17),"")</f>
        <v>0.06</v>
      </c>
    </row>
    <row r="16" spans="1:3" x14ac:dyDescent="0.35">
      <c r="A16" s="653" t="s">
        <v>888</v>
      </c>
      <c r="B16" s="654">
        <v>0.15</v>
      </c>
      <c r="C16" s="655">
        <f>IFERROR((B16/'Cover Sheet'!$B$17),"")</f>
        <v>0.15</v>
      </c>
    </row>
    <row r="17" spans="1:3" x14ac:dyDescent="0.35">
      <c r="A17" s="653" t="s">
        <v>890</v>
      </c>
      <c r="B17" s="654">
        <v>0.39</v>
      </c>
      <c r="C17" s="655">
        <f>IFERROR((B17/'Cover Sheet'!$B$17),"")</f>
        <v>0.39</v>
      </c>
    </row>
    <row r="18" spans="1:3" x14ac:dyDescent="0.35">
      <c r="A18" s="653" t="s">
        <v>892</v>
      </c>
      <c r="B18" s="654">
        <v>0.1</v>
      </c>
      <c r="C18" s="655">
        <f>IFERROR((B18/'Cover Sheet'!$B$17),"")</f>
        <v>0.1</v>
      </c>
    </row>
    <row r="19" spans="1:3" x14ac:dyDescent="0.35">
      <c r="A19" s="653" t="s">
        <v>894</v>
      </c>
      <c r="B19" s="654">
        <v>0.1</v>
      </c>
      <c r="C19" s="655">
        <f>IFERROR((B19/'Cover Sheet'!$B$17),"")</f>
        <v>0.1</v>
      </c>
    </row>
  </sheetData>
  <sheetProtection algorithmName="SHA-512" hashValue="3U4Z8CkocR5KYS9jYCKA6Hjt1fQIVl5TpAlhJwaai7jBJ3nMUjhS2Hl49QFJqd7+fUsWoCiOlhqp4FT9EKykKg==" saltValue="PURHTSjP7zPfKY0oIt8naA==" spinCount="100000" sheet="1" objects="1" scenarios="1"/>
  <pageMargins left="0.7" right="0.7" top="0.75" bottom="0.75" header="0.3" footer="0.3"/>
  <pageSetup paperSize="9" orientation="portrait" horizontalDpi="360" verticalDpi="36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18B6B-2E1E-4135-B743-121012A93922}">
  <sheetPr codeName="Sheet22"/>
  <dimension ref="A1:J45"/>
  <sheetViews>
    <sheetView topLeftCell="D1" workbookViewId="0">
      <selection activeCell="L7" sqref="L7"/>
    </sheetView>
  </sheetViews>
  <sheetFormatPr defaultColWidth="8.81640625" defaultRowHeight="14.5" x14ac:dyDescent="0.35"/>
  <cols>
    <col min="1" max="1" width="46.453125" bestFit="1" customWidth="1"/>
    <col min="2" max="2" width="46" customWidth="1"/>
    <col min="3" max="3" width="38" customWidth="1"/>
    <col min="4" max="4" width="22.81640625" customWidth="1"/>
    <col min="5" max="5" width="20.81640625" customWidth="1"/>
    <col min="6" max="6" width="20.453125" customWidth="1"/>
    <col min="7" max="7" width="19.453125" customWidth="1"/>
    <col min="8" max="8" width="15.453125" customWidth="1"/>
    <col min="9" max="9" width="15.1796875" customWidth="1"/>
    <col min="10" max="10" width="14.54296875" customWidth="1"/>
  </cols>
  <sheetData>
    <row r="1" spans="1:10" ht="58.5" thickBot="1" x14ac:dyDescent="0.4">
      <c r="A1" s="606" t="s">
        <v>2254</v>
      </c>
      <c r="B1" s="647" t="s">
        <v>2255</v>
      </c>
      <c r="C1" s="647" t="s">
        <v>2256</v>
      </c>
      <c r="D1" s="647" t="s">
        <v>2257</v>
      </c>
      <c r="E1" s="647" t="s">
        <v>2258</v>
      </c>
      <c r="F1" s="647" t="s">
        <v>2259</v>
      </c>
      <c r="G1" s="647" t="s">
        <v>2260</v>
      </c>
      <c r="H1" s="649" t="s">
        <v>2261</v>
      </c>
      <c r="I1" s="648" t="s">
        <v>2262</v>
      </c>
      <c r="J1" s="1286" t="s">
        <v>2263</v>
      </c>
    </row>
    <row r="2" spans="1:10" ht="15" thickBot="1" x14ac:dyDescent="0.4">
      <c r="A2" s="543" t="s">
        <v>2264</v>
      </c>
      <c r="B2" s="646">
        <f t="shared" ref="B2:B9" si="0">SUM($B$27,$B$29)+$B$39+$B$31</f>
        <v>0.28600000000000003</v>
      </c>
      <c r="C2" s="646">
        <f t="shared" ref="C2:C9" si="1">SUM($B$26,$B$28,$B$30,$B$31,$B$40)</f>
        <v>0.61</v>
      </c>
      <c r="D2" s="386">
        <f>B2*$B$12/1000</f>
        <v>0.72901400000000016</v>
      </c>
      <c r="E2" s="386"/>
      <c r="F2" s="158"/>
      <c r="G2" s="169"/>
      <c r="H2" s="650">
        <v>0.88</v>
      </c>
      <c r="I2" s="650">
        <v>1.7999999999999999E-2</v>
      </c>
      <c r="J2" s="158"/>
    </row>
    <row r="3" spans="1:10" ht="15" thickBot="1" x14ac:dyDescent="0.4">
      <c r="A3" s="543" t="s">
        <v>2265</v>
      </c>
      <c r="B3" s="646">
        <f t="shared" si="0"/>
        <v>0.28600000000000003</v>
      </c>
      <c r="C3" s="646">
        <f t="shared" si="1"/>
        <v>0.61</v>
      </c>
      <c r="D3" s="386">
        <f>B3*$B$12/1000</f>
        <v>0.72901400000000016</v>
      </c>
      <c r="E3" s="386"/>
      <c r="F3" s="158"/>
      <c r="G3" s="169"/>
      <c r="H3" s="650">
        <v>0.88</v>
      </c>
      <c r="I3" s="650">
        <v>1.7999999999999999E-2</v>
      </c>
      <c r="J3" s="158"/>
    </row>
    <row r="4" spans="1:10" ht="15" thickBot="1" x14ac:dyDescent="0.4">
      <c r="A4" s="543" t="s">
        <v>2266</v>
      </c>
      <c r="B4" s="646">
        <f t="shared" si="0"/>
        <v>0.28600000000000003</v>
      </c>
      <c r="C4" s="646">
        <f t="shared" si="1"/>
        <v>0.61</v>
      </c>
      <c r="D4" s="386">
        <f>B4*$B$12/1000</f>
        <v>0.72901400000000016</v>
      </c>
      <c r="E4" s="386"/>
      <c r="F4" s="158"/>
      <c r="G4" s="169"/>
      <c r="H4" s="650">
        <v>0.88</v>
      </c>
      <c r="I4" s="650">
        <v>1.7999999999999999E-2</v>
      </c>
      <c r="J4" s="158"/>
    </row>
    <row r="5" spans="1:10" x14ac:dyDescent="0.35">
      <c r="A5" s="543" t="s">
        <v>2267</v>
      </c>
      <c r="B5" s="646">
        <f t="shared" si="0"/>
        <v>0.28600000000000003</v>
      </c>
      <c r="C5" s="646">
        <f t="shared" si="1"/>
        <v>0.61</v>
      </c>
      <c r="D5" s="158"/>
      <c r="E5" s="386">
        <f>$B$13*B5/1000</f>
        <v>8.0151500000000014E-2</v>
      </c>
      <c r="F5" s="158"/>
      <c r="G5" s="158"/>
      <c r="H5" s="651"/>
      <c r="I5" s="651"/>
      <c r="J5" s="158">
        <v>0.88427</v>
      </c>
    </row>
    <row r="6" spans="1:10" x14ac:dyDescent="0.35">
      <c r="A6" s="543" t="s">
        <v>2268</v>
      </c>
      <c r="B6" s="646">
        <f t="shared" si="0"/>
        <v>0.28600000000000003</v>
      </c>
      <c r="C6" s="646">
        <f t="shared" si="1"/>
        <v>0.61</v>
      </c>
      <c r="D6" s="158"/>
      <c r="E6" s="386"/>
      <c r="F6" s="158"/>
      <c r="G6" s="158"/>
      <c r="H6" s="169"/>
      <c r="I6" s="169"/>
      <c r="J6" s="158"/>
    </row>
    <row r="7" spans="1:10" x14ac:dyDescent="0.35">
      <c r="A7" s="543" t="s">
        <v>2269</v>
      </c>
      <c r="B7" s="646">
        <f t="shared" si="0"/>
        <v>0.28600000000000003</v>
      </c>
      <c r="C7" s="646">
        <f t="shared" si="1"/>
        <v>0.61</v>
      </c>
      <c r="D7" s="158"/>
      <c r="E7" s="386">
        <f>$B$13*B7/1000</f>
        <v>8.0151500000000014E-2</v>
      </c>
      <c r="F7" s="158"/>
      <c r="G7" s="158"/>
      <c r="H7" s="169"/>
      <c r="I7" s="169"/>
      <c r="J7" s="158">
        <v>1.01633</v>
      </c>
    </row>
    <row r="8" spans="1:10" x14ac:dyDescent="0.35">
      <c r="A8" s="543" t="s">
        <v>208</v>
      </c>
      <c r="B8" s="646">
        <f t="shared" si="0"/>
        <v>0.28600000000000003</v>
      </c>
      <c r="C8" s="646">
        <f t="shared" si="1"/>
        <v>0.61</v>
      </c>
      <c r="D8" s="158"/>
      <c r="E8" s="386"/>
      <c r="F8" s="158"/>
      <c r="G8" s="158"/>
      <c r="H8" s="169"/>
      <c r="I8" s="169"/>
      <c r="J8" s="158"/>
    </row>
    <row r="9" spans="1:10" x14ac:dyDescent="0.35">
      <c r="A9" s="543" t="s">
        <v>1046</v>
      </c>
      <c r="B9" s="646">
        <f t="shared" si="0"/>
        <v>0.28600000000000003</v>
      </c>
      <c r="C9" s="646">
        <f t="shared" si="1"/>
        <v>0.61</v>
      </c>
      <c r="D9" s="158"/>
      <c r="E9" s="386"/>
      <c r="F9" s="158"/>
      <c r="G9" s="158"/>
      <c r="H9" s="169"/>
      <c r="I9" s="169"/>
      <c r="J9" s="158"/>
    </row>
    <row r="10" spans="1:10" ht="29" x14ac:dyDescent="0.35">
      <c r="D10" s="4" t="s">
        <v>2270</v>
      </c>
    </row>
    <row r="12" spans="1:10" ht="29" x14ac:dyDescent="0.35">
      <c r="A12" s="543" t="s">
        <v>2271</v>
      </c>
      <c r="B12" s="606">
        <v>2549</v>
      </c>
      <c r="C12" s="643" t="s">
        <v>2272</v>
      </c>
    </row>
    <row r="13" spans="1:10" ht="29" x14ac:dyDescent="0.35">
      <c r="A13" s="543" t="s">
        <v>2273</v>
      </c>
      <c r="B13" s="606">
        <v>280.25</v>
      </c>
      <c r="C13" s="643" t="s">
        <v>2272</v>
      </c>
    </row>
    <row r="14" spans="1:10" x14ac:dyDescent="0.35">
      <c r="A14" s="543" t="s">
        <v>2274</v>
      </c>
      <c r="B14" s="606"/>
      <c r="C14" s="606"/>
    </row>
    <row r="15" spans="1:10" x14ac:dyDescent="0.35">
      <c r="A15" s="543" t="s">
        <v>2275</v>
      </c>
      <c r="B15" s="606"/>
      <c r="C15" s="606"/>
    </row>
    <row r="16" spans="1:10" x14ac:dyDescent="0.35">
      <c r="A16" s="2"/>
    </row>
    <row r="17" spans="1:5" x14ac:dyDescent="0.35">
      <c r="A17" s="637" t="s">
        <v>2276</v>
      </c>
      <c r="B17" s="606" t="s">
        <v>2277</v>
      </c>
      <c r="C17" s="606" t="s">
        <v>1184</v>
      </c>
    </row>
    <row r="18" spans="1:5" s="4" customFormat="1" ht="72.5" x14ac:dyDescent="0.35">
      <c r="A18" s="644">
        <v>1</v>
      </c>
      <c r="B18" s="643" t="s">
        <v>2278</v>
      </c>
      <c r="C18" s="643" t="s">
        <v>2279</v>
      </c>
      <c r="E18" s="642"/>
    </row>
    <row r="19" spans="1:5" s="4" customFormat="1" ht="58" x14ac:dyDescent="0.35">
      <c r="A19" s="644">
        <v>2</v>
      </c>
      <c r="B19" s="643" t="s">
        <v>2280</v>
      </c>
      <c r="C19" s="643" t="s">
        <v>2281</v>
      </c>
    </row>
    <row r="20" spans="1:5" s="4" customFormat="1" ht="43.5" x14ac:dyDescent="0.35">
      <c r="A20" s="644">
        <v>3</v>
      </c>
      <c r="B20" s="643" t="s">
        <v>2282</v>
      </c>
      <c r="C20" s="643" t="s">
        <v>2283</v>
      </c>
    </row>
    <row r="21" spans="1:5" ht="58" x14ac:dyDescent="0.35">
      <c r="A21" s="644">
        <v>4</v>
      </c>
      <c r="B21" s="643" t="s">
        <v>2284</v>
      </c>
      <c r="C21" s="643" t="s">
        <v>2285</v>
      </c>
    </row>
    <row r="22" spans="1:5" ht="101.5" x14ac:dyDescent="0.35">
      <c r="A22" s="644">
        <v>5</v>
      </c>
      <c r="B22" s="643" t="s">
        <v>2286</v>
      </c>
      <c r="C22" s="643" t="s">
        <v>2287</v>
      </c>
    </row>
    <row r="23" spans="1:5" ht="15" thickBot="1" x14ac:dyDescent="0.4"/>
    <row r="24" spans="1:5" x14ac:dyDescent="0.35">
      <c r="A24" s="2009" t="s">
        <v>2288</v>
      </c>
      <c r="B24" s="2009" t="s">
        <v>2289</v>
      </c>
    </row>
    <row r="25" spans="1:5" ht="15" thickBot="1" x14ac:dyDescent="0.4">
      <c r="A25" s="2010"/>
      <c r="B25" s="2010"/>
    </row>
    <row r="26" spans="1:5" ht="15" thickBot="1" x14ac:dyDescent="0.4">
      <c r="A26" s="638" t="s">
        <v>2290</v>
      </c>
      <c r="B26" s="641">
        <v>0.35299999999999998</v>
      </c>
    </row>
    <row r="27" spans="1:5" ht="15" thickBot="1" x14ac:dyDescent="0.4">
      <c r="A27" s="638" t="s">
        <v>2291</v>
      </c>
      <c r="B27" s="641">
        <v>0.13700000000000001</v>
      </c>
    </row>
    <row r="28" spans="1:5" ht="15" thickBot="1" x14ac:dyDescent="0.4">
      <c r="A28" s="638" t="s">
        <v>2292</v>
      </c>
      <c r="B28" s="641">
        <v>0.13100000000000001</v>
      </c>
    </row>
    <row r="29" spans="1:5" ht="15" thickBot="1" x14ac:dyDescent="0.4">
      <c r="A29" s="638" t="s">
        <v>2293</v>
      </c>
      <c r="B29" s="641">
        <v>0.09</v>
      </c>
    </row>
    <row r="30" spans="1:5" ht="15" thickBot="1" x14ac:dyDescent="0.4">
      <c r="A30" s="638" t="s">
        <v>2294</v>
      </c>
      <c r="B30" s="641">
        <v>6.7000000000000004E-2</v>
      </c>
    </row>
    <row r="31" spans="1:5" ht="15" thickBot="1" x14ac:dyDescent="0.4">
      <c r="A31" s="638" t="s">
        <v>2295</v>
      </c>
      <c r="B31" s="641">
        <v>5.6000000000000001E-2</v>
      </c>
    </row>
    <row r="32" spans="1:5" ht="15" thickBot="1" x14ac:dyDescent="0.4">
      <c r="A32" s="638" t="s">
        <v>2296</v>
      </c>
      <c r="B32" s="641">
        <v>4.2999999999999997E-2</v>
      </c>
    </row>
    <row r="33" spans="1:2" ht="15" thickBot="1" x14ac:dyDescent="0.4">
      <c r="A33" s="638" t="s">
        <v>2297</v>
      </c>
      <c r="B33" s="641">
        <v>4.2000000000000003E-2</v>
      </c>
    </row>
    <row r="34" spans="1:2" ht="15" thickBot="1" x14ac:dyDescent="0.4">
      <c r="A34" s="638" t="s">
        <v>2298</v>
      </c>
      <c r="B34" s="641">
        <v>0.03</v>
      </c>
    </row>
    <row r="35" spans="1:2" ht="15" thickBot="1" x14ac:dyDescent="0.4">
      <c r="A35" s="638" t="s">
        <v>2299</v>
      </c>
      <c r="B35" s="641">
        <v>1.2E-2</v>
      </c>
    </row>
    <row r="36" spans="1:2" ht="15" thickBot="1" x14ac:dyDescent="0.4">
      <c r="A36" s="638" t="s">
        <v>2300</v>
      </c>
      <c r="B36" s="641">
        <v>8.9999999999999993E-3</v>
      </c>
    </row>
    <row r="37" spans="1:2" ht="15" thickBot="1" x14ac:dyDescent="0.4">
      <c r="A37" s="638" t="s">
        <v>2301</v>
      </c>
      <c r="B37" s="641">
        <v>8.0000000000000002E-3</v>
      </c>
    </row>
    <row r="38" spans="1:2" ht="15" thickBot="1" x14ac:dyDescent="0.4">
      <c r="A38" s="638" t="s">
        <v>2302</v>
      </c>
      <c r="B38" s="641">
        <v>8.0000000000000002E-3</v>
      </c>
    </row>
    <row r="39" spans="1:2" ht="15" thickBot="1" x14ac:dyDescent="0.4">
      <c r="A39" s="638" t="s">
        <v>2303</v>
      </c>
      <c r="B39" s="641">
        <v>3.0000000000000001E-3</v>
      </c>
    </row>
    <row r="40" spans="1:2" ht="15" thickBot="1" x14ac:dyDescent="0.4">
      <c r="A40" s="638" t="s">
        <v>2304</v>
      </c>
      <c r="B40" s="641">
        <v>3.0000000000000001E-3</v>
      </c>
    </row>
    <row r="41" spans="1:2" ht="15" thickBot="1" x14ac:dyDescent="0.4">
      <c r="A41" s="638" t="s">
        <v>2305</v>
      </c>
      <c r="B41" s="641">
        <v>2E-3</v>
      </c>
    </row>
    <row r="42" spans="1:2" ht="15" thickBot="1" x14ac:dyDescent="0.4">
      <c r="A42" s="638" t="s">
        <v>2306</v>
      </c>
      <c r="B42" s="641">
        <v>2E-3</v>
      </c>
    </row>
    <row r="43" spans="1:2" ht="15" thickBot="1" x14ac:dyDescent="0.4">
      <c r="A43" s="638" t="s">
        <v>2307</v>
      </c>
      <c r="B43" s="641">
        <v>1E-3</v>
      </c>
    </row>
    <row r="44" spans="1:2" ht="15" thickBot="1" x14ac:dyDescent="0.4">
      <c r="A44" s="638" t="s">
        <v>2308</v>
      </c>
      <c r="B44" s="641">
        <v>1E-3</v>
      </c>
    </row>
    <row r="45" spans="1:2" ht="15.5" thickBot="1" x14ac:dyDescent="0.4">
      <c r="A45" s="639" t="s">
        <v>2309</v>
      </c>
      <c r="B45" s="640">
        <f>SUM(B26:B44)</f>
        <v>0.99800000000000022</v>
      </c>
    </row>
  </sheetData>
  <sheetProtection algorithmName="SHA-512" hashValue="czeFrp+r4zqMvELHCkuZgaxamJcTxVyE2NtCZ50VYYYKiT4KpZAFby0LP4gFKskvPJX6+h77FwPSPZLnhKXnNg==" saltValue="KijBdEn288pUkdTdZhVFuA==" spinCount="100000" sheet="1" objects="1" scenarios="1"/>
  <mergeCells count="2">
    <mergeCell ref="A24:A25"/>
    <mergeCell ref="B24:B25"/>
  </mergeCells>
  <pageMargins left="0.7" right="0.7" top="0.75" bottom="0.75" header="0.3" footer="0.3"/>
  <pageSetup paperSize="9" orientation="portrait" horizontalDpi="360" verticalDpi="360"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A90A9-07F0-4F99-AB9F-729306010940}">
  <sheetPr codeName="Sheet23"/>
  <dimension ref="A1:Y28"/>
  <sheetViews>
    <sheetView topLeftCell="F23" workbookViewId="0">
      <selection activeCell="L28" sqref="L3:L28"/>
    </sheetView>
  </sheetViews>
  <sheetFormatPr defaultColWidth="8.81640625" defaultRowHeight="14.5" x14ac:dyDescent="0.35"/>
  <cols>
    <col min="1" max="1" width="27.81640625" style="4" customWidth="1"/>
    <col min="2" max="2" width="18.81640625" customWidth="1"/>
    <col min="12" max="12" width="42.26953125" style="4" bestFit="1" customWidth="1"/>
    <col min="14" max="14" width="13.7265625" customWidth="1"/>
    <col min="15" max="15" width="68.1796875" style="4" customWidth="1"/>
    <col min="16" max="16" width="13.7265625" customWidth="1"/>
    <col min="17" max="17" width="17" customWidth="1"/>
    <col min="18" max="18" width="16.81640625" customWidth="1"/>
    <col min="19" max="20" width="20.453125" customWidth="1"/>
    <col min="21" max="21" width="17.453125" customWidth="1"/>
    <col min="22" max="22" width="35.453125" bestFit="1" customWidth="1"/>
    <col min="23" max="23" width="13.26953125" customWidth="1"/>
    <col min="24" max="24" width="85.81640625" style="4" customWidth="1"/>
    <col min="25" max="25" width="31.7265625" customWidth="1"/>
  </cols>
  <sheetData>
    <row r="1" spans="1:25" ht="29.5" thickBot="1" x14ac:dyDescent="0.4">
      <c r="A1" s="4" t="s">
        <v>2310</v>
      </c>
    </row>
    <row r="2" spans="1:25" ht="29" x14ac:dyDescent="0.35">
      <c r="A2" s="610" t="s">
        <v>2311</v>
      </c>
      <c r="B2" s="636" t="s">
        <v>2312</v>
      </c>
      <c r="C2" s="611" t="s">
        <v>2313</v>
      </c>
      <c r="D2" s="612" t="s">
        <v>2314</v>
      </c>
      <c r="F2" s="2012" t="s">
        <v>2315</v>
      </c>
      <c r="G2" s="2012"/>
      <c r="H2" s="2012"/>
      <c r="I2" s="2012"/>
      <c r="J2" s="2012"/>
      <c r="L2" s="608" t="s">
        <v>2316</v>
      </c>
      <c r="M2" s="608" t="s">
        <v>2317</v>
      </c>
      <c r="N2" s="608" t="s">
        <v>2318</v>
      </c>
      <c r="O2" s="608" t="s">
        <v>2319</v>
      </c>
      <c r="P2" s="608" t="s">
        <v>2320</v>
      </c>
      <c r="Q2" s="608" t="s">
        <v>2321</v>
      </c>
      <c r="R2" s="608" t="s">
        <v>2322</v>
      </c>
      <c r="S2" s="608" t="s">
        <v>2323</v>
      </c>
      <c r="T2" s="608" t="s">
        <v>2324</v>
      </c>
      <c r="U2" s="608" t="s">
        <v>2325</v>
      </c>
      <c r="V2" s="608" t="s">
        <v>2326</v>
      </c>
      <c r="W2" s="608" t="s">
        <v>2327</v>
      </c>
      <c r="X2" s="608" t="s">
        <v>1184</v>
      </c>
      <c r="Y2" s="608" t="s">
        <v>619</v>
      </c>
    </row>
    <row r="3" spans="1:25" x14ac:dyDescent="0.35">
      <c r="A3" s="613" t="s">
        <v>2328</v>
      </c>
      <c r="B3" s="609">
        <v>0.10299999999999999</v>
      </c>
      <c r="C3" s="609">
        <v>8.6599999999999996E-2</v>
      </c>
      <c r="D3" s="614">
        <v>9.9000000000000005E-2</v>
      </c>
      <c r="F3" s="2012"/>
      <c r="G3" s="2012"/>
      <c r="H3" s="2012"/>
      <c r="I3" s="2012"/>
      <c r="J3" s="2012"/>
      <c r="L3" s="635" t="s">
        <v>2329</v>
      </c>
      <c r="M3" s="635" t="s">
        <v>2330</v>
      </c>
      <c r="N3" s="635" t="s">
        <v>2331</v>
      </c>
      <c r="O3" s="635" t="s">
        <v>1046</v>
      </c>
      <c r="P3" s="635" t="s">
        <v>1046</v>
      </c>
      <c r="Q3" s="635" t="s">
        <v>1046</v>
      </c>
      <c r="R3" s="635" t="s">
        <v>1046</v>
      </c>
      <c r="S3" s="635">
        <v>0</v>
      </c>
      <c r="T3" s="739">
        <f t="shared" ref="T3:T9" si="0">IF(M3="MDI",(INDEX($B$3:$B$13,MATCH(V3,$A$3:$A$13,0))),0)</f>
        <v>0</v>
      </c>
      <c r="U3" s="635">
        <v>0</v>
      </c>
      <c r="V3" s="635" t="s">
        <v>1668</v>
      </c>
      <c r="W3" s="606" t="s">
        <v>1046</v>
      </c>
      <c r="X3" s="643"/>
      <c r="Y3" s="606"/>
    </row>
    <row r="4" spans="1:25" x14ac:dyDescent="0.35">
      <c r="A4" s="613" t="s">
        <v>2332</v>
      </c>
      <c r="B4" s="609">
        <v>3.7949999999999998E-2</v>
      </c>
      <c r="C4" s="609">
        <v>3.3399999999999999E-2</v>
      </c>
      <c r="D4" s="614">
        <v>4.2500000000000003E-2</v>
      </c>
      <c r="F4" s="2012"/>
      <c r="G4" s="2012"/>
      <c r="H4" s="2012"/>
      <c r="I4" s="2012"/>
      <c r="J4" s="2012"/>
      <c r="L4" s="635" t="s">
        <v>2333</v>
      </c>
      <c r="M4" s="635" t="s">
        <v>2334</v>
      </c>
      <c r="N4" s="635" t="s">
        <v>2335</v>
      </c>
      <c r="O4" s="635" t="s">
        <v>1046</v>
      </c>
      <c r="P4" s="635" t="s">
        <v>1046</v>
      </c>
      <c r="Q4" s="635" t="s">
        <v>1046</v>
      </c>
      <c r="R4" s="635" t="s">
        <v>1046</v>
      </c>
      <c r="S4" s="635">
        <v>12.73</v>
      </c>
      <c r="T4" s="739">
        <f t="shared" si="0"/>
        <v>8.3000000000000004E-2</v>
      </c>
      <c r="U4" s="635">
        <v>18.34</v>
      </c>
      <c r="V4" s="635" t="s">
        <v>1046</v>
      </c>
      <c r="W4" s="606" t="s">
        <v>1046</v>
      </c>
      <c r="X4" s="643"/>
      <c r="Y4" s="606"/>
    </row>
    <row r="5" spans="1:25" ht="29" x14ac:dyDescent="0.35">
      <c r="A5" s="613" t="s">
        <v>2336</v>
      </c>
      <c r="B5" s="609">
        <v>3.7949999999999998E-2</v>
      </c>
      <c r="C5" s="609">
        <f>B5*0.9</f>
        <v>3.4154999999999998E-2</v>
      </c>
      <c r="D5" s="614">
        <f>B5*1.33</f>
        <v>5.0473499999999998E-2</v>
      </c>
      <c r="F5" s="2012"/>
      <c r="G5" s="2012"/>
      <c r="H5" s="2012"/>
      <c r="I5" s="2012"/>
      <c r="J5" s="2012"/>
      <c r="L5" s="635" t="s">
        <v>2337</v>
      </c>
      <c r="M5" s="635" t="s">
        <v>2334</v>
      </c>
      <c r="N5" s="635" t="s">
        <v>2335</v>
      </c>
      <c r="O5" s="635" t="s">
        <v>1046</v>
      </c>
      <c r="P5" s="635" t="s">
        <v>1046</v>
      </c>
      <c r="Q5" s="635" t="s">
        <v>1046</v>
      </c>
      <c r="R5" s="635" t="s">
        <v>1046</v>
      </c>
      <c r="S5" s="635">
        <v>13.27</v>
      </c>
      <c r="T5" s="739">
        <f t="shared" si="0"/>
        <v>9.1024102564102566E-2</v>
      </c>
      <c r="U5" s="635">
        <v>19.28</v>
      </c>
      <c r="V5" s="635" t="s">
        <v>2338</v>
      </c>
      <c r="W5" s="606" t="s">
        <v>1046</v>
      </c>
      <c r="X5" s="643"/>
      <c r="Y5" s="606"/>
    </row>
    <row r="6" spans="1:25" ht="29" x14ac:dyDescent="0.35">
      <c r="A6" s="613" t="s">
        <v>2339</v>
      </c>
      <c r="B6" s="609">
        <v>0.1</v>
      </c>
      <c r="C6" s="609">
        <v>9.0000000000000011E-2</v>
      </c>
      <c r="D6" s="614">
        <v>0.11000000000000001</v>
      </c>
      <c r="F6" s="2012"/>
      <c r="G6" s="2012"/>
      <c r="H6" s="2012"/>
      <c r="I6" s="2012"/>
      <c r="J6" s="2012"/>
      <c r="L6" s="635" t="s">
        <v>2340</v>
      </c>
      <c r="M6" s="635" t="s">
        <v>2334</v>
      </c>
      <c r="N6" s="635" t="s">
        <v>2335</v>
      </c>
      <c r="O6" s="635" t="s">
        <v>2341</v>
      </c>
      <c r="P6" s="635" t="s">
        <v>1046</v>
      </c>
      <c r="Q6" s="635" t="s">
        <v>1046</v>
      </c>
      <c r="R6" s="635" t="s">
        <v>1046</v>
      </c>
      <c r="S6" s="635">
        <v>7.08</v>
      </c>
      <c r="T6" s="739">
        <f t="shared" si="0"/>
        <v>3.7949999999999998E-2</v>
      </c>
      <c r="U6" s="635">
        <v>9.2100000000000009</v>
      </c>
      <c r="V6" s="635" t="s">
        <v>2336</v>
      </c>
      <c r="W6" s="606" t="s">
        <v>1046</v>
      </c>
      <c r="X6" s="643"/>
      <c r="Y6" s="606"/>
    </row>
    <row r="7" spans="1:25" x14ac:dyDescent="0.35">
      <c r="A7" s="613" t="s">
        <v>2342</v>
      </c>
      <c r="B7" s="609">
        <v>7.4999999999999997E-2</v>
      </c>
      <c r="C7" s="609">
        <v>5.6600000000000004E-2</v>
      </c>
      <c r="D7" s="614">
        <v>0.1</v>
      </c>
      <c r="F7" s="2012"/>
      <c r="G7" s="2012"/>
      <c r="H7" s="2012"/>
      <c r="I7" s="2012"/>
      <c r="J7" s="2012"/>
      <c r="L7" s="635" t="s">
        <v>2343</v>
      </c>
      <c r="M7" s="635" t="s">
        <v>2344</v>
      </c>
      <c r="N7" s="635" t="s">
        <v>2331</v>
      </c>
      <c r="O7" s="635" t="s">
        <v>1046</v>
      </c>
      <c r="P7" s="635" t="s">
        <v>1046</v>
      </c>
      <c r="Q7" s="635" t="s">
        <v>1046</v>
      </c>
      <c r="R7" s="635" t="s">
        <v>1046</v>
      </c>
      <c r="S7" s="635">
        <v>0</v>
      </c>
      <c r="T7" s="739">
        <f t="shared" si="0"/>
        <v>0</v>
      </c>
      <c r="U7" s="635">
        <v>0</v>
      </c>
      <c r="V7" s="635" t="s">
        <v>1668</v>
      </c>
      <c r="W7" s="606" t="s">
        <v>1046</v>
      </c>
      <c r="X7" s="643"/>
      <c r="Y7" s="606"/>
    </row>
    <row r="8" spans="1:25" ht="29" x14ac:dyDescent="0.35">
      <c r="A8" s="613" t="s">
        <v>2345</v>
      </c>
      <c r="B8" s="609">
        <v>0.10299999999999999</v>
      </c>
      <c r="C8" s="609">
        <v>0.1</v>
      </c>
      <c r="D8" s="614">
        <v>0.15166666666666667</v>
      </c>
      <c r="F8" s="2012"/>
      <c r="G8" s="2012"/>
      <c r="H8" s="2012"/>
      <c r="I8" s="2012"/>
      <c r="J8" s="2012"/>
      <c r="L8" s="643" t="s">
        <v>2346</v>
      </c>
      <c r="M8" s="606" t="s">
        <v>2334</v>
      </c>
      <c r="N8" s="606" t="s">
        <v>2347</v>
      </c>
      <c r="O8" s="643" t="s">
        <v>2348</v>
      </c>
      <c r="P8" s="606">
        <v>120</v>
      </c>
      <c r="Q8" s="606">
        <v>4</v>
      </c>
      <c r="R8" s="606">
        <v>30</v>
      </c>
      <c r="S8" s="607">
        <f>IF(M8="MDI",P8*(INDEX($B$3:$B$13,MATCH(V8,$A$3:$A$13,0))),0)</f>
        <v>11</v>
      </c>
      <c r="T8" s="739">
        <f t="shared" si="0"/>
        <v>9.166666666666666E-2</v>
      </c>
      <c r="U8" s="607">
        <f>IF(N8="HFA134a",S8*$B$21/1000,IF(N8="HFA227a",S8*$B$22/1000,0))</f>
        <v>36.85</v>
      </c>
      <c r="V8" s="606" t="s">
        <v>2349</v>
      </c>
      <c r="W8" s="606" t="s">
        <v>2350</v>
      </c>
      <c r="X8" s="643" t="s">
        <v>2351</v>
      </c>
      <c r="Y8" s="606"/>
    </row>
    <row r="9" spans="1:25" ht="29" x14ac:dyDescent="0.35">
      <c r="A9" s="613" t="s">
        <v>2349</v>
      </c>
      <c r="B9" s="609">
        <v>9.166666666666666E-2</v>
      </c>
      <c r="C9" s="609">
        <v>8.7499999999999994E-2</v>
      </c>
      <c r="D9" s="614">
        <v>9.583333333333334E-2</v>
      </c>
      <c r="F9" s="2012"/>
      <c r="G9" s="2012"/>
      <c r="H9" s="2012"/>
      <c r="I9" s="2012"/>
      <c r="J9" s="2012"/>
      <c r="L9" s="643" t="s">
        <v>2352</v>
      </c>
      <c r="M9" s="606" t="s">
        <v>2334</v>
      </c>
      <c r="N9" s="606" t="s">
        <v>2347</v>
      </c>
      <c r="O9" s="643" t="s">
        <v>2353</v>
      </c>
      <c r="P9" s="606">
        <v>200</v>
      </c>
      <c r="Q9" s="606">
        <v>2</v>
      </c>
      <c r="R9" s="606">
        <v>100</v>
      </c>
      <c r="S9" s="607">
        <f>IF(M9="MDI",P9*(INDEX($B$3:$B$13,MATCH(V9,$A$3:$A$13,0))),0)</f>
        <v>18.333333333333332</v>
      </c>
      <c r="T9" s="739">
        <f t="shared" si="0"/>
        <v>9.166666666666666E-2</v>
      </c>
      <c r="U9" s="607">
        <f>IF(N9="HFA134a",S9*$B$21/1000,IF(N9="HFA227a",S9*$B$22/1000,0))</f>
        <v>61.416666666666664</v>
      </c>
      <c r="V9" s="606" t="s">
        <v>2349</v>
      </c>
      <c r="W9" s="606" t="s">
        <v>2354</v>
      </c>
      <c r="X9" s="643" t="s">
        <v>2351</v>
      </c>
      <c r="Y9" s="606"/>
    </row>
    <row r="10" spans="1:25" ht="29" x14ac:dyDescent="0.35">
      <c r="A10" s="613" t="s">
        <v>2355</v>
      </c>
      <c r="B10" s="609">
        <v>8.5453846153846158E-2</v>
      </c>
      <c r="C10" s="609">
        <v>6.6666666666666666E-2</v>
      </c>
      <c r="D10" s="614">
        <v>9.0944444444444453E-2</v>
      </c>
      <c r="F10" s="2012"/>
      <c r="G10" s="2012"/>
      <c r="H10" s="2012"/>
      <c r="I10" s="2012"/>
      <c r="J10" s="2012"/>
      <c r="L10" s="643" t="s">
        <v>2356</v>
      </c>
      <c r="M10" s="606" t="s">
        <v>2334</v>
      </c>
      <c r="N10" s="606" t="s">
        <v>2335</v>
      </c>
      <c r="O10" s="643" t="s">
        <v>2357</v>
      </c>
      <c r="P10" s="606">
        <v>200</v>
      </c>
      <c r="Q10" s="1050">
        <v>4</v>
      </c>
      <c r="R10" s="1050">
        <f>P10/Q10</f>
        <v>50</v>
      </c>
      <c r="S10" s="607">
        <v>20.593846153846155</v>
      </c>
      <c r="T10" s="739">
        <f>S10/P10</f>
        <v>0.10296923076923077</v>
      </c>
      <c r="U10" s="607">
        <f>S10*1300/1000</f>
        <v>26.771999999999998</v>
      </c>
      <c r="V10" s="606" t="s">
        <v>2328</v>
      </c>
      <c r="W10" s="606" t="s">
        <v>2358</v>
      </c>
      <c r="X10" s="643" t="s">
        <v>2359</v>
      </c>
      <c r="Y10" s="606"/>
    </row>
    <row r="11" spans="1:25" x14ac:dyDescent="0.35">
      <c r="A11" s="924" t="s">
        <v>2338</v>
      </c>
      <c r="B11" s="925">
        <f>AVERAGE(B6:B10)</f>
        <v>9.1024102564102566E-2</v>
      </c>
      <c r="C11" s="925"/>
      <c r="D11" s="926"/>
      <c r="F11" s="2012"/>
      <c r="G11" s="2012"/>
      <c r="H11" s="2012"/>
      <c r="I11" s="2012"/>
      <c r="J11" s="2012"/>
      <c r="L11" s="643" t="s">
        <v>2360</v>
      </c>
      <c r="M11" s="606" t="s">
        <v>2334</v>
      </c>
      <c r="N11" s="606" t="s">
        <v>2335</v>
      </c>
      <c r="O11" s="643" t="s">
        <v>2361</v>
      </c>
      <c r="P11" s="606">
        <v>200</v>
      </c>
      <c r="Q11" s="606">
        <v>4</v>
      </c>
      <c r="R11" s="606">
        <v>30</v>
      </c>
      <c r="S11" s="607">
        <f>IF(M11="MDI",P11*(INDEX($B$3:$B$13,MATCH(V11,$A$3:$A$13,0))),0)</f>
        <v>20.599999999999998</v>
      </c>
      <c r="T11" s="739">
        <f>IF(M11="MDI",(INDEX($B$3:$B$13,MATCH(V11,$A$3:$A$13,0))),0)</f>
        <v>0.10299999999999999</v>
      </c>
      <c r="U11" s="607">
        <f>IF(N11="HFA134a",S11*$B$21/1000,IF(N11="HFA227a",S11*$B$22/1000,0))</f>
        <v>26.779999999999998</v>
      </c>
      <c r="V11" s="606" t="s">
        <v>2328</v>
      </c>
      <c r="W11" s="606" t="s">
        <v>2362</v>
      </c>
      <c r="X11" s="643" t="s">
        <v>2363</v>
      </c>
      <c r="Y11" s="606"/>
    </row>
    <row r="12" spans="1:25" ht="72.5" x14ac:dyDescent="0.35">
      <c r="A12" s="924" t="s">
        <v>2364</v>
      </c>
      <c r="B12" s="925">
        <f>AVERAGE(B3:B4)</f>
        <v>7.0474999999999996E-2</v>
      </c>
      <c r="C12" s="925"/>
      <c r="D12" s="926"/>
      <c r="F12" s="2012"/>
      <c r="G12" s="2012"/>
      <c r="H12" s="2012"/>
      <c r="I12" s="2012"/>
      <c r="J12" s="2012"/>
      <c r="L12" s="643" t="s">
        <v>2365</v>
      </c>
      <c r="M12" s="606" t="s">
        <v>2334</v>
      </c>
      <c r="N12" s="606" t="s">
        <v>2335</v>
      </c>
      <c r="O12" s="643" t="s">
        <v>2366</v>
      </c>
      <c r="P12" s="606">
        <v>200</v>
      </c>
      <c r="Q12" s="1050">
        <v>4</v>
      </c>
      <c r="R12" s="1050">
        <f>P12/Q12</f>
        <v>50</v>
      </c>
      <c r="S12" s="607">
        <v>12.043076923076923</v>
      </c>
      <c r="T12" s="739">
        <f>S12/P12</f>
        <v>6.0215384615384615E-2</v>
      </c>
      <c r="U12" s="607">
        <f>S12*1300/1000</f>
        <v>15.656000000000001</v>
      </c>
      <c r="V12" s="606" t="s">
        <v>2342</v>
      </c>
      <c r="W12" s="606" t="s">
        <v>2367</v>
      </c>
      <c r="X12" s="643" t="s">
        <v>2368</v>
      </c>
      <c r="Y12" s="606"/>
    </row>
    <row r="13" spans="1:25" ht="73" thickBot="1" x14ac:dyDescent="0.4">
      <c r="A13" s="615" t="s">
        <v>1046</v>
      </c>
      <c r="B13" s="616">
        <v>8.3000000000000004E-2</v>
      </c>
      <c r="C13" s="617"/>
      <c r="D13" s="618"/>
      <c r="F13" s="2012"/>
      <c r="G13" s="2012"/>
      <c r="H13" s="2012"/>
      <c r="I13" s="2012"/>
      <c r="J13" s="2012"/>
      <c r="L13" s="643" t="s">
        <v>2369</v>
      </c>
      <c r="M13" s="606" t="s">
        <v>2334</v>
      </c>
      <c r="N13" s="606" t="s">
        <v>2335</v>
      </c>
      <c r="O13" s="643" t="s">
        <v>2370</v>
      </c>
      <c r="P13" s="606">
        <v>200</v>
      </c>
      <c r="Q13" s="1050">
        <v>4</v>
      </c>
      <c r="R13" s="1050">
        <f t="shared" ref="R13:R28" si="1">P13/Q13</f>
        <v>50</v>
      </c>
      <c r="S13" s="607">
        <v>11.86923076923077</v>
      </c>
      <c r="T13" s="739">
        <f t="shared" ref="T13:T28" si="2">S13/P13</f>
        <v>5.9346153846153847E-2</v>
      </c>
      <c r="U13" s="607">
        <f t="shared" ref="U13:U28" si="3">S13*1300/1000</f>
        <v>15.43</v>
      </c>
      <c r="V13" s="606" t="s">
        <v>2342</v>
      </c>
      <c r="W13" s="606" t="s">
        <v>2367</v>
      </c>
      <c r="X13" s="643" t="s">
        <v>2368</v>
      </c>
      <c r="Y13" s="606"/>
    </row>
    <row r="14" spans="1:25" ht="72.5" x14ac:dyDescent="0.35">
      <c r="L14" s="643" t="s">
        <v>2371</v>
      </c>
      <c r="M14" s="606" t="s">
        <v>2334</v>
      </c>
      <c r="N14" s="606" t="s">
        <v>2335</v>
      </c>
      <c r="O14" s="643" t="s">
        <v>2372</v>
      </c>
      <c r="P14" s="606">
        <v>200</v>
      </c>
      <c r="Q14" s="1050">
        <v>1.0714285714285714</v>
      </c>
      <c r="R14" s="1050">
        <f t="shared" si="1"/>
        <v>186.66666666666669</v>
      </c>
      <c r="S14" s="607">
        <v>11.696923076923078</v>
      </c>
      <c r="T14" s="739">
        <f t="shared" si="2"/>
        <v>5.8484615384615385E-2</v>
      </c>
      <c r="U14" s="607">
        <f t="shared" si="3"/>
        <v>15.206000000000001</v>
      </c>
      <c r="V14" s="606" t="s">
        <v>2342</v>
      </c>
      <c r="W14" s="606" t="s">
        <v>2367</v>
      </c>
      <c r="X14" s="643" t="s">
        <v>2368</v>
      </c>
      <c r="Y14" s="606"/>
    </row>
    <row r="15" spans="1:25" ht="58.5" thickBot="1" x14ac:dyDescent="0.4">
      <c r="F15" s="2013" t="s">
        <v>2373</v>
      </c>
      <c r="G15" s="2013"/>
      <c r="H15" s="2013"/>
      <c r="I15" s="2013"/>
      <c r="J15" s="2013"/>
      <c r="L15" s="643" t="s">
        <v>2374</v>
      </c>
      <c r="M15" s="606" t="s">
        <v>2334</v>
      </c>
      <c r="N15" s="606" t="s">
        <v>2335</v>
      </c>
      <c r="O15" s="643" t="s">
        <v>2375</v>
      </c>
      <c r="P15" s="606">
        <v>200</v>
      </c>
      <c r="Q15" s="1050">
        <v>1.0714285714285714</v>
      </c>
      <c r="R15" s="1050">
        <f t="shared" si="1"/>
        <v>186.66666666666669</v>
      </c>
      <c r="S15" s="607">
        <v>12.043076923076923</v>
      </c>
      <c r="T15" s="739">
        <f t="shared" si="2"/>
        <v>6.0215384615384615E-2</v>
      </c>
      <c r="U15" s="607">
        <f t="shared" si="3"/>
        <v>15.656000000000001</v>
      </c>
      <c r="V15" s="606" t="s">
        <v>2342</v>
      </c>
      <c r="W15" s="606" t="s">
        <v>2367</v>
      </c>
      <c r="X15" s="643" t="s">
        <v>2376</v>
      </c>
      <c r="Y15" s="606"/>
    </row>
    <row r="16" spans="1:25" ht="39" x14ac:dyDescent="0.35">
      <c r="A16" s="619" t="s">
        <v>2377</v>
      </c>
      <c r="B16" s="2014" t="s">
        <v>2378</v>
      </c>
      <c r="C16" s="2015"/>
      <c r="D16" s="2016"/>
      <c r="F16" s="2013"/>
      <c r="G16" s="2013"/>
      <c r="H16" s="2013"/>
      <c r="I16" s="2013"/>
      <c r="J16" s="2013"/>
      <c r="L16" s="643" t="s">
        <v>2379</v>
      </c>
      <c r="M16" s="606" t="s">
        <v>2334</v>
      </c>
      <c r="N16" s="606" t="s">
        <v>2335</v>
      </c>
      <c r="O16" s="643" t="s">
        <v>2380</v>
      </c>
      <c r="P16" s="606">
        <v>120</v>
      </c>
      <c r="Q16" s="1050">
        <v>4</v>
      </c>
      <c r="R16" s="1050">
        <f t="shared" si="1"/>
        <v>30</v>
      </c>
      <c r="S16" s="607">
        <v>13.023076923076923</v>
      </c>
      <c r="T16" s="739">
        <f t="shared" si="2"/>
        <v>0.10852564102564102</v>
      </c>
      <c r="U16" s="607">
        <f t="shared" si="3"/>
        <v>16.93</v>
      </c>
      <c r="V16" s="606" t="s">
        <v>2342</v>
      </c>
      <c r="W16" s="606" t="s">
        <v>2358</v>
      </c>
      <c r="X16" s="643" t="s">
        <v>2359</v>
      </c>
      <c r="Y16" s="606"/>
    </row>
    <row r="17" spans="1:25" ht="39.5" thickBot="1" x14ac:dyDescent="0.4">
      <c r="A17" s="620" t="s">
        <v>2381</v>
      </c>
      <c r="B17" s="2017" t="s">
        <v>2382</v>
      </c>
      <c r="C17" s="2018"/>
      <c r="D17" s="2019"/>
      <c r="L17" s="643" t="s">
        <v>2383</v>
      </c>
      <c r="M17" s="606" t="s">
        <v>2334</v>
      </c>
      <c r="N17" s="606" t="s">
        <v>2335</v>
      </c>
      <c r="O17" s="643" t="s">
        <v>2384</v>
      </c>
      <c r="P17" s="606">
        <v>120</v>
      </c>
      <c r="Q17" s="1050">
        <v>4</v>
      </c>
      <c r="R17" s="1050">
        <f t="shared" si="1"/>
        <v>30</v>
      </c>
      <c r="S17" s="607">
        <v>13.023076923076923</v>
      </c>
      <c r="T17" s="739">
        <f t="shared" si="2"/>
        <v>0.10852564102564102</v>
      </c>
      <c r="U17" s="607">
        <f t="shared" si="3"/>
        <v>16.93</v>
      </c>
      <c r="V17" s="606" t="s">
        <v>2342</v>
      </c>
      <c r="W17" s="606" t="s">
        <v>2358</v>
      </c>
      <c r="X17" s="643" t="s">
        <v>2359</v>
      </c>
      <c r="Y17" s="606"/>
    </row>
    <row r="18" spans="1:25" x14ac:dyDescent="0.35">
      <c r="L18" s="643" t="s">
        <v>2385</v>
      </c>
      <c r="M18" s="606" t="s">
        <v>2334</v>
      </c>
      <c r="N18" s="606" t="s">
        <v>2335</v>
      </c>
      <c r="O18" s="643" t="s">
        <v>2386</v>
      </c>
      <c r="P18" s="606">
        <v>120</v>
      </c>
      <c r="Q18" s="1050">
        <v>1</v>
      </c>
      <c r="R18" s="1050">
        <f t="shared" si="1"/>
        <v>120</v>
      </c>
      <c r="S18" s="607">
        <v>13.023076923076923</v>
      </c>
      <c r="T18" s="739">
        <f t="shared" si="2"/>
        <v>0.10852564102564102</v>
      </c>
      <c r="U18" s="607">
        <f t="shared" si="3"/>
        <v>16.93</v>
      </c>
      <c r="V18" s="606" t="s">
        <v>2342</v>
      </c>
      <c r="W18" s="606" t="s">
        <v>2358</v>
      </c>
      <c r="X18" s="643" t="s">
        <v>2359</v>
      </c>
      <c r="Y18" s="606"/>
    </row>
    <row r="19" spans="1:25" ht="58.5" thickBot="1" x14ac:dyDescent="0.4">
      <c r="A19" s="2020" t="s">
        <v>2243</v>
      </c>
      <c r="B19" s="2020"/>
      <c r="L19" s="643" t="s">
        <v>2387</v>
      </c>
      <c r="M19" s="606" t="s">
        <v>2334</v>
      </c>
      <c r="N19" s="606" t="s">
        <v>2335</v>
      </c>
      <c r="O19" s="643" t="s">
        <v>2388</v>
      </c>
      <c r="P19" s="606">
        <v>120</v>
      </c>
      <c r="Q19" s="1050">
        <v>1</v>
      </c>
      <c r="R19" s="1050">
        <f t="shared" si="1"/>
        <v>120</v>
      </c>
      <c r="S19" s="607">
        <v>8.059384615384614</v>
      </c>
      <c r="T19" s="739">
        <f t="shared" si="2"/>
        <v>6.7161538461538453E-2</v>
      </c>
      <c r="U19" s="607">
        <f t="shared" si="3"/>
        <v>10.477199999999998</v>
      </c>
      <c r="V19" s="606" t="s">
        <v>2345</v>
      </c>
      <c r="W19" s="606" t="s">
        <v>2367</v>
      </c>
      <c r="X19" s="643" t="s">
        <v>2376</v>
      </c>
      <c r="Y19" s="606"/>
    </row>
    <row r="20" spans="1:25" ht="58" x14ac:dyDescent="0.35">
      <c r="A20" s="623" t="s">
        <v>2389</v>
      </c>
      <c r="B20" s="624" t="s">
        <v>2390</v>
      </c>
      <c r="L20" s="643" t="s">
        <v>2391</v>
      </c>
      <c r="M20" s="606" t="s">
        <v>2334</v>
      </c>
      <c r="N20" s="606" t="s">
        <v>2335</v>
      </c>
      <c r="O20" s="643" t="s">
        <v>2392</v>
      </c>
      <c r="P20" s="606">
        <v>120</v>
      </c>
      <c r="Q20" s="1050">
        <v>1</v>
      </c>
      <c r="R20" s="1050">
        <f t="shared" si="1"/>
        <v>120</v>
      </c>
      <c r="S20" s="607">
        <v>10.240615384615385</v>
      </c>
      <c r="T20" s="739">
        <f t="shared" si="2"/>
        <v>8.5338461538461544E-2</v>
      </c>
      <c r="U20" s="607">
        <f t="shared" si="3"/>
        <v>13.312800000000001</v>
      </c>
      <c r="V20" s="606" t="s">
        <v>2345</v>
      </c>
      <c r="W20" s="606" t="s">
        <v>2367</v>
      </c>
      <c r="X20" s="643" t="s">
        <v>2376</v>
      </c>
      <c r="Y20" s="606"/>
    </row>
    <row r="21" spans="1:25" ht="43.5" x14ac:dyDescent="0.35">
      <c r="A21" s="625" t="s">
        <v>2335</v>
      </c>
      <c r="B21" s="621">
        <v>1300</v>
      </c>
      <c r="L21" s="643" t="s">
        <v>2393</v>
      </c>
      <c r="M21" s="606" t="s">
        <v>2334</v>
      </c>
      <c r="N21" s="606" t="s">
        <v>2335</v>
      </c>
      <c r="O21" s="643" t="s">
        <v>2366</v>
      </c>
      <c r="P21" s="606">
        <v>200</v>
      </c>
      <c r="Q21" s="1050">
        <v>2</v>
      </c>
      <c r="R21" s="1050">
        <f t="shared" si="1"/>
        <v>100</v>
      </c>
      <c r="S21" s="607">
        <v>18.570399999999999</v>
      </c>
      <c r="T21" s="739">
        <f t="shared" si="2"/>
        <v>9.285199999999999E-2</v>
      </c>
      <c r="U21" s="607">
        <f t="shared" si="3"/>
        <v>24.14152</v>
      </c>
      <c r="V21" s="606" t="s">
        <v>2342</v>
      </c>
      <c r="W21" s="606" t="s">
        <v>2394</v>
      </c>
      <c r="X21" s="643" t="s">
        <v>2395</v>
      </c>
      <c r="Y21" s="2011" t="s">
        <v>2396</v>
      </c>
    </row>
    <row r="22" spans="1:25" ht="43.5" x14ac:dyDescent="0.35">
      <c r="A22" s="625" t="s">
        <v>2347</v>
      </c>
      <c r="B22" s="621">
        <v>3350</v>
      </c>
      <c r="L22" s="643" t="s">
        <v>2397</v>
      </c>
      <c r="M22" s="606" t="s">
        <v>2334</v>
      </c>
      <c r="N22" s="606" t="s">
        <v>2335</v>
      </c>
      <c r="O22" s="643" t="s">
        <v>2375</v>
      </c>
      <c r="P22" s="606">
        <v>200</v>
      </c>
      <c r="Q22" s="1050">
        <v>3</v>
      </c>
      <c r="R22" s="1050">
        <f t="shared" si="1"/>
        <v>66.666666666666671</v>
      </c>
      <c r="S22" s="607">
        <v>18.570399999999999</v>
      </c>
      <c r="T22" s="739">
        <f t="shared" si="2"/>
        <v>9.285199999999999E-2</v>
      </c>
      <c r="U22" s="607">
        <f t="shared" si="3"/>
        <v>24.14152</v>
      </c>
      <c r="V22" s="606" t="s">
        <v>2342</v>
      </c>
      <c r="W22" s="606" t="s">
        <v>2394</v>
      </c>
      <c r="X22" s="643" t="s">
        <v>2395</v>
      </c>
      <c r="Y22" s="2011"/>
    </row>
    <row r="23" spans="1:25" ht="43.5" x14ac:dyDescent="0.35">
      <c r="A23" s="625" t="s">
        <v>2398</v>
      </c>
      <c r="B23" s="621">
        <v>138</v>
      </c>
      <c r="L23" s="643" t="s">
        <v>2399</v>
      </c>
      <c r="M23" s="606" t="s">
        <v>2334</v>
      </c>
      <c r="N23" s="606" t="s">
        <v>2335</v>
      </c>
      <c r="O23" s="643" t="s">
        <v>2400</v>
      </c>
      <c r="P23" s="606">
        <v>120</v>
      </c>
      <c r="Q23" s="1050">
        <v>4</v>
      </c>
      <c r="R23" s="1050">
        <f t="shared" si="1"/>
        <v>30</v>
      </c>
      <c r="S23" s="607">
        <v>17.3611</v>
      </c>
      <c r="T23" s="739">
        <f t="shared" si="2"/>
        <v>0.14467583333333334</v>
      </c>
      <c r="U23" s="607">
        <f t="shared" si="3"/>
        <v>22.569430000000001</v>
      </c>
      <c r="V23" s="606" t="s">
        <v>2345</v>
      </c>
      <c r="W23" s="606" t="s">
        <v>2394</v>
      </c>
      <c r="X23" s="643" t="s">
        <v>2395</v>
      </c>
      <c r="Y23" s="2011"/>
    </row>
    <row r="24" spans="1:25" x14ac:dyDescent="0.35">
      <c r="A24" s="625" t="s">
        <v>2331</v>
      </c>
      <c r="B24" s="622">
        <v>0</v>
      </c>
      <c r="L24" s="643" t="s">
        <v>2401</v>
      </c>
      <c r="M24" s="606" t="s">
        <v>2334</v>
      </c>
      <c r="N24" s="606" t="s">
        <v>2335</v>
      </c>
      <c r="O24" s="643" t="s">
        <v>2400</v>
      </c>
      <c r="P24" s="606">
        <v>120</v>
      </c>
      <c r="Q24" s="1050">
        <v>4</v>
      </c>
      <c r="R24" s="1050">
        <f t="shared" si="1"/>
        <v>30</v>
      </c>
      <c r="S24" s="607">
        <v>12.893846153846154</v>
      </c>
      <c r="T24" s="739">
        <f t="shared" si="2"/>
        <v>0.10744871794871795</v>
      </c>
      <c r="U24" s="607">
        <f t="shared" si="3"/>
        <v>16.762</v>
      </c>
      <c r="V24" s="606" t="s">
        <v>2345</v>
      </c>
      <c r="W24" s="606" t="s">
        <v>2358</v>
      </c>
      <c r="X24" s="643" t="s">
        <v>2359</v>
      </c>
      <c r="Y24" s="606"/>
    </row>
    <row r="25" spans="1:25" x14ac:dyDescent="0.35">
      <c r="L25" s="643" t="s">
        <v>2402</v>
      </c>
      <c r="M25" s="606" t="s">
        <v>2334</v>
      </c>
      <c r="N25" s="606" t="s">
        <v>2335</v>
      </c>
      <c r="O25" s="643" t="s">
        <v>2403</v>
      </c>
      <c r="P25" s="606">
        <v>120</v>
      </c>
      <c r="Q25" s="1050">
        <v>2</v>
      </c>
      <c r="R25" s="1050">
        <f t="shared" si="1"/>
        <v>60</v>
      </c>
      <c r="S25" s="607">
        <v>12.893846153846154</v>
      </c>
      <c r="T25" s="739">
        <f t="shared" si="2"/>
        <v>0.10744871794871795</v>
      </c>
      <c r="U25" s="607">
        <f t="shared" si="3"/>
        <v>16.762</v>
      </c>
      <c r="V25" s="606" t="s">
        <v>2345</v>
      </c>
      <c r="W25" s="606" t="s">
        <v>2358</v>
      </c>
      <c r="X25" s="643" t="s">
        <v>2359</v>
      </c>
      <c r="Y25" s="606"/>
    </row>
    <row r="26" spans="1:25" x14ac:dyDescent="0.35">
      <c r="L26" s="643" t="s">
        <v>2404</v>
      </c>
      <c r="M26" s="606" t="s">
        <v>2334</v>
      </c>
      <c r="N26" s="606" t="s">
        <v>2335</v>
      </c>
      <c r="O26" s="643" t="s">
        <v>2405</v>
      </c>
      <c r="P26" s="606">
        <v>120</v>
      </c>
      <c r="Q26" s="1050">
        <v>4</v>
      </c>
      <c r="R26" s="1050">
        <f t="shared" si="1"/>
        <v>30</v>
      </c>
      <c r="S26" s="607">
        <v>12.893846153846154</v>
      </c>
      <c r="T26" s="739">
        <f t="shared" si="2"/>
        <v>0.10744871794871795</v>
      </c>
      <c r="U26" s="607">
        <f t="shared" si="3"/>
        <v>16.762</v>
      </c>
      <c r="V26" s="606" t="s">
        <v>2345</v>
      </c>
      <c r="W26" s="606" t="s">
        <v>2358</v>
      </c>
      <c r="X26" s="643" t="s">
        <v>2359</v>
      </c>
      <c r="Y26" s="606"/>
    </row>
    <row r="27" spans="1:25" x14ac:dyDescent="0.35">
      <c r="L27" s="643" t="s">
        <v>2406</v>
      </c>
      <c r="M27" s="606" t="s">
        <v>2334</v>
      </c>
      <c r="N27" s="606" t="s">
        <v>2335</v>
      </c>
      <c r="O27" s="643" t="s">
        <v>2407</v>
      </c>
      <c r="P27" s="606">
        <v>120</v>
      </c>
      <c r="Q27" s="1050">
        <v>8</v>
      </c>
      <c r="R27" s="1050">
        <f t="shared" si="1"/>
        <v>15</v>
      </c>
      <c r="S27" s="607">
        <v>13.06</v>
      </c>
      <c r="T27" s="739">
        <f t="shared" si="2"/>
        <v>0.10883333333333334</v>
      </c>
      <c r="U27" s="607">
        <f t="shared" si="3"/>
        <v>16.978000000000002</v>
      </c>
      <c r="V27" s="606" t="s">
        <v>2339</v>
      </c>
      <c r="W27" s="606" t="s">
        <v>2358</v>
      </c>
      <c r="X27" s="643" t="s">
        <v>2359</v>
      </c>
      <c r="Y27" s="606"/>
    </row>
    <row r="28" spans="1:25" ht="58" x14ac:dyDescent="0.35">
      <c r="L28" s="643" t="s">
        <v>2408</v>
      </c>
      <c r="M28" s="606" t="s">
        <v>2334</v>
      </c>
      <c r="N28" s="606" t="s">
        <v>2335</v>
      </c>
      <c r="O28" s="643" t="s">
        <v>2409</v>
      </c>
      <c r="P28" s="606">
        <v>120</v>
      </c>
      <c r="Q28" s="1050">
        <v>4</v>
      </c>
      <c r="R28" s="1050">
        <f t="shared" si="1"/>
        <v>30</v>
      </c>
      <c r="S28" s="607">
        <v>10.254461538461539</v>
      </c>
      <c r="T28" s="739">
        <f t="shared" si="2"/>
        <v>8.5453846153846158E-2</v>
      </c>
      <c r="U28" s="607">
        <f t="shared" si="3"/>
        <v>13.330800000000002</v>
      </c>
      <c r="V28" s="606" t="s">
        <v>2355</v>
      </c>
      <c r="W28" s="606" t="s">
        <v>2367</v>
      </c>
      <c r="X28" s="643" t="s">
        <v>2376</v>
      </c>
      <c r="Y28" s="606"/>
    </row>
  </sheetData>
  <sheetProtection algorithmName="SHA-512" hashValue="Q5LV9JUNk8Kbta5hrQd5kFxZ8oc5/BArBeQbrfD6pdqY5hFkoe7Hj+1CMvZldcG/n1fxu+A+ZGEenagXeMr/VA==" saltValue="tKe2R4BsHN26v6yOx9qWig==" spinCount="100000" sheet="1" selectLockedCells="1" selectUnlockedCells="1"/>
  <autoFilter ref="L2:V11" xr:uid="{A6D8B9EC-1494-441C-B327-28BC0132A487}">
    <sortState xmlns:xlrd2="http://schemas.microsoft.com/office/spreadsheetml/2017/richdata2" ref="L3:V11">
      <sortCondition ref="L2:L11"/>
    </sortState>
  </autoFilter>
  <mergeCells count="6">
    <mergeCell ref="Y21:Y23"/>
    <mergeCell ref="F2:J13"/>
    <mergeCell ref="F15:J16"/>
    <mergeCell ref="B16:D16"/>
    <mergeCell ref="B17:D17"/>
    <mergeCell ref="A19:B19"/>
  </mergeCells>
  <hyperlinks>
    <hyperlink ref="A19" r:id="rId1" display="https://www.ghgprotocol.org/sites/default/files/ghgp/Global-Warming-Potential-Values %28Feb 16 2016%29_1.pdf" xr:uid="{E1F4C639-A4B8-4D65-AEE6-964CA2909474}"/>
  </hyperlinks>
  <pageMargins left="0.7" right="0.7" top="0.75" bottom="0.75" header="0.3" footer="0.3"/>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47C3C-85FC-4647-BBA5-CBF7BBD3BFC9}">
  <sheetPr codeName="Sheet24"/>
  <dimension ref="A1:Q242"/>
  <sheetViews>
    <sheetView topLeftCell="A217" workbookViewId="0">
      <selection activeCell="A227" sqref="A18:A227"/>
    </sheetView>
  </sheetViews>
  <sheetFormatPr defaultColWidth="30.54296875" defaultRowHeight="14.5" x14ac:dyDescent="0.35"/>
  <cols>
    <col min="1" max="1" width="30.453125" bestFit="1" customWidth="1"/>
    <col min="2" max="2" width="18.54296875" bestFit="1" customWidth="1"/>
    <col min="3" max="3" width="18.26953125" bestFit="1" customWidth="1"/>
    <col min="4" max="4" width="40.7265625" bestFit="1" customWidth="1"/>
    <col min="5" max="5" width="38.7265625" bestFit="1" customWidth="1"/>
    <col min="6" max="6" width="40" style="2" bestFit="1" customWidth="1"/>
    <col min="7" max="7" width="29.7265625" bestFit="1" customWidth="1"/>
    <col min="8" max="8" width="56.26953125" bestFit="1" customWidth="1"/>
    <col min="9" max="9" width="118.453125" bestFit="1" customWidth="1"/>
    <col min="10" max="10" width="90.81640625" bestFit="1" customWidth="1"/>
    <col min="11" max="11" width="25.1796875" bestFit="1" customWidth="1"/>
    <col min="14" max="14" width="30.54296875" style="787"/>
  </cols>
  <sheetData>
    <row r="1" spans="1:17" ht="29.5" thickBot="1" x14ac:dyDescent="0.4">
      <c r="A1" s="740" t="s">
        <v>2410</v>
      </c>
      <c r="B1" s="741" t="s">
        <v>2411</v>
      </c>
      <c r="C1" s="742" t="s">
        <v>2412</v>
      </c>
      <c r="D1" s="742" t="s">
        <v>2413</v>
      </c>
      <c r="E1" s="743" t="s">
        <v>213</v>
      </c>
      <c r="G1" s="602" t="s">
        <v>2276</v>
      </c>
      <c r="H1" s="782" t="s">
        <v>2414</v>
      </c>
      <c r="I1" s="782" t="s">
        <v>2415</v>
      </c>
      <c r="J1" s="783" t="s">
        <v>2416</v>
      </c>
      <c r="K1" s="3"/>
      <c r="L1" s="786"/>
      <c r="N1"/>
      <c r="O1" s="778"/>
      <c r="P1" s="3"/>
    </row>
    <row r="2" spans="1:17" ht="15" customHeight="1" x14ac:dyDescent="0.35">
      <c r="A2" s="515" t="s">
        <v>2417</v>
      </c>
      <c r="B2" s="744" t="s">
        <v>2418</v>
      </c>
      <c r="C2" s="745">
        <f>AVERAGEIF($H$31:$H$227,B2,$N$31:$N$227)</f>
        <v>0.78686047711281404</v>
      </c>
      <c r="D2" s="790">
        <f>COUNTIFS($H$31:$H$227,"AFR",$N$31:$N$227,"&gt;0")</f>
        <v>3</v>
      </c>
      <c r="E2" s="746" t="s">
        <v>2419</v>
      </c>
      <c r="G2" s="747"/>
      <c r="H2" s="780" t="s">
        <v>2420</v>
      </c>
      <c r="I2" s="1437" t="s">
        <v>2421</v>
      </c>
      <c r="J2" s="784" t="s">
        <v>2422</v>
      </c>
      <c r="K2" s="3"/>
      <c r="L2" s="786"/>
      <c r="N2" s="779"/>
      <c r="O2" s="779"/>
      <c r="P2" s="779"/>
    </row>
    <row r="3" spans="1:17" ht="18.75" customHeight="1" thickBot="1" x14ac:dyDescent="0.4">
      <c r="A3" s="747" t="s">
        <v>2423</v>
      </c>
      <c r="B3" s="748" t="s">
        <v>2424</v>
      </c>
      <c r="C3" s="745">
        <f t="shared" ref="C3:C10" si="0">AVERAGEIF($H$31:$H$227,B3,$N$31:$N$227)</f>
        <v>1.7429565890762324</v>
      </c>
      <c r="D3" s="790">
        <f>COUNTIFS($H$31:$H$227,"AMR",$N$31:$N$227,"&gt;0")</f>
        <v>8</v>
      </c>
      <c r="E3" s="749" t="s">
        <v>1763</v>
      </c>
      <c r="G3" s="504"/>
      <c r="H3" s="781"/>
      <c r="I3" s="1436" t="s">
        <v>2425</v>
      </c>
      <c r="J3" s="785"/>
      <c r="K3" s="3"/>
      <c r="L3" s="786"/>
      <c r="N3" s="779"/>
      <c r="O3" s="779"/>
      <c r="P3" s="779"/>
    </row>
    <row r="4" spans="1:17" x14ac:dyDescent="0.35">
      <c r="A4" s="747" t="s">
        <v>2426</v>
      </c>
      <c r="B4" s="748" t="s">
        <v>2427</v>
      </c>
      <c r="C4" s="745">
        <f t="shared" si="0"/>
        <v>1.7892275289669113</v>
      </c>
      <c r="D4" s="790">
        <f>COUNTIFS($H$31:$H$227,"SEAR",$N$31:$N$227,"&gt;0")</f>
        <v>3</v>
      </c>
      <c r="E4" s="313" t="s">
        <v>2419</v>
      </c>
    </row>
    <row r="5" spans="1:17" x14ac:dyDescent="0.35">
      <c r="A5" s="747" t="s">
        <v>2428</v>
      </c>
      <c r="B5" s="748" t="s">
        <v>2429</v>
      </c>
      <c r="C5" s="745">
        <f t="shared" si="0"/>
        <v>1.3809400770844993</v>
      </c>
      <c r="D5" s="790" cm="1">
        <f t="array" ref="D5">SUM(COUNTIFS($N$31:$N$227,"&gt;0",$H$31:$H$227,{"EUR","EU","EU/OECD"}))</f>
        <v>30</v>
      </c>
      <c r="E5" s="181" t="s">
        <v>242</v>
      </c>
    </row>
    <row r="6" spans="1:17" x14ac:dyDescent="0.35">
      <c r="A6" s="747" t="s">
        <v>2430</v>
      </c>
      <c r="B6" s="748" t="s">
        <v>2431</v>
      </c>
      <c r="C6" s="745">
        <f t="shared" si="0"/>
        <v>0.323678625511305</v>
      </c>
      <c r="D6" s="790" cm="1">
        <f t="array" ref="D6">SUM(COUNTIFS($N$31:$N$227,"&gt;0",$H$31:$H$227,{"EU","EU/OECD"}))</f>
        <v>23</v>
      </c>
      <c r="E6" s="181" t="s">
        <v>242</v>
      </c>
    </row>
    <row r="7" spans="1:17" x14ac:dyDescent="0.35">
      <c r="A7" s="747" t="s">
        <v>2432</v>
      </c>
      <c r="B7" s="748" t="s">
        <v>2433</v>
      </c>
      <c r="C7" s="745">
        <f t="shared" si="0"/>
        <v>1.2084262985360623</v>
      </c>
      <c r="D7" s="790">
        <f>COUNTIFS($H$31:$H$227,"WPR",$N$31:$N$227,"&gt;0")</f>
        <v>7</v>
      </c>
      <c r="E7" s="313" t="s">
        <v>239</v>
      </c>
    </row>
    <row r="8" spans="1:17" x14ac:dyDescent="0.35">
      <c r="A8" s="747" t="s">
        <v>2434</v>
      </c>
      <c r="B8" s="748" t="s">
        <v>2435</v>
      </c>
      <c r="C8" s="745">
        <f t="shared" si="0"/>
        <v>2.0793883206673902</v>
      </c>
      <c r="D8" s="790">
        <f>COUNTIFS($H$31:$H$227,"EMR",$N$31:$N$227,"&gt;0")</f>
        <v>2</v>
      </c>
      <c r="E8" s="313" t="s">
        <v>2419</v>
      </c>
    </row>
    <row r="9" spans="1:17" x14ac:dyDescent="0.35">
      <c r="A9" s="747" t="s">
        <v>2436</v>
      </c>
      <c r="B9" s="748" t="s">
        <v>2437</v>
      </c>
      <c r="C9" s="745">
        <f t="shared" si="0"/>
        <v>0.3286528860698355</v>
      </c>
      <c r="D9" s="790" cm="1">
        <f t="array" ref="D9">SUM(COUNTIFS($N$31:$N$227,"&gt;0",$H$31:$H$227,{"OECD","EU/OECD"}))</f>
        <v>32</v>
      </c>
      <c r="E9" s="181" t="s">
        <v>242</v>
      </c>
    </row>
    <row r="10" spans="1:17" ht="15" thickBot="1" x14ac:dyDescent="0.4">
      <c r="A10" s="792" t="s">
        <v>2438</v>
      </c>
      <c r="B10" s="793" t="s">
        <v>2439</v>
      </c>
      <c r="C10" s="794">
        <f t="shared" si="0"/>
        <v>0.3248043607462559</v>
      </c>
      <c r="D10" s="795">
        <f>SUM(COUNTIFS($N$31:$N$227,"&gt;0",$H$31:$H$227,"EU/OECD"))</f>
        <v>19</v>
      </c>
      <c r="E10" s="796" t="s">
        <v>242</v>
      </c>
    </row>
    <row r="11" spans="1:17" x14ac:dyDescent="0.35">
      <c r="A11" s="511" t="s">
        <v>2440</v>
      </c>
      <c r="B11" s="797" t="s">
        <v>239</v>
      </c>
      <c r="C11" s="799" t="s">
        <v>2441</v>
      </c>
      <c r="D11" s="798">
        <f>SUM(COUNTIFS($N$31:$N$227,"&gt;0",$C$31:$C$227,"Low"))</f>
        <v>0</v>
      </c>
      <c r="E11" s="387" t="s">
        <v>2419</v>
      </c>
    </row>
    <row r="12" spans="1:17" x14ac:dyDescent="0.35">
      <c r="A12" s="747" t="s">
        <v>418</v>
      </c>
      <c r="B12" s="606" t="s">
        <v>2442</v>
      </c>
      <c r="C12" s="745">
        <f>AVERAGEIF($C$31:$C$227,B12,$N$31:$N$227)</f>
        <v>1.8249019594608369</v>
      </c>
      <c r="D12" s="790">
        <f>SUM(COUNTIFS($N$31:$N$227,"&gt;0",$C$31:$C$227,"Low-Mid"))</f>
        <v>9</v>
      </c>
      <c r="E12" s="313" t="s">
        <v>239</v>
      </c>
    </row>
    <row r="13" spans="1:17" x14ac:dyDescent="0.35">
      <c r="A13" s="747" t="s">
        <v>2443</v>
      </c>
      <c r="B13" s="606" t="s">
        <v>2444</v>
      </c>
      <c r="C13" s="745">
        <f>AVERAGEIF($C$31:$C$227,B13,$N$31:$N$227)</f>
        <v>0.87199527966721591</v>
      </c>
      <c r="D13" s="790">
        <f>SUM(COUNTIFS($N$31:$N$227,"&gt;0",$C$31:$C$227,"Up-Mid"))</f>
        <v>18</v>
      </c>
      <c r="E13" s="181" t="s">
        <v>242</v>
      </c>
    </row>
    <row r="14" spans="1:17" ht="15" thickBot="1" x14ac:dyDescent="0.4">
      <c r="A14" s="504" t="s">
        <v>2445</v>
      </c>
      <c r="B14" s="505" t="s">
        <v>2446</v>
      </c>
      <c r="C14" s="750">
        <f>AVERAGEIF($C$31:$C$227,B14,$N$31:$N$227)</f>
        <v>0.37159988323397952</v>
      </c>
      <c r="D14" s="791">
        <f>SUM(COUNTIFS($N$31:$N$227,"&gt;0",$C$31:$C$227,"Hi"))</f>
        <v>37</v>
      </c>
      <c r="E14" s="185" t="s">
        <v>242</v>
      </c>
    </row>
    <row r="16" spans="1:17" ht="15.5" x14ac:dyDescent="0.35">
      <c r="A16" s="2021" t="s">
        <v>2447</v>
      </c>
      <c r="B16" s="2022"/>
      <c r="C16" s="2022"/>
      <c r="D16" s="2022"/>
      <c r="E16" s="2022"/>
      <c r="F16" s="2022"/>
      <c r="G16" s="2023"/>
      <c r="H16" s="751"/>
      <c r="I16" s="2024" t="s">
        <v>2448</v>
      </c>
      <c r="J16" s="2025"/>
      <c r="K16" s="2026"/>
      <c r="L16" s="752" t="s">
        <v>2449</v>
      </c>
      <c r="M16" s="752" t="s">
        <v>2450</v>
      </c>
      <c r="N16" s="788" t="s">
        <v>2451</v>
      </c>
      <c r="O16" s="753" t="s">
        <v>2452</v>
      </c>
      <c r="P16" s="158" t="s">
        <v>2451</v>
      </c>
      <c r="Q16" s="158" t="s">
        <v>2453</v>
      </c>
    </row>
    <row r="17" spans="1:17" ht="46.5" x14ac:dyDescent="0.35">
      <c r="A17" s="754" t="s">
        <v>2454</v>
      </c>
      <c r="B17" s="755" t="s">
        <v>2455</v>
      </c>
      <c r="C17" s="158" t="s">
        <v>2456</v>
      </c>
      <c r="D17" s="756" t="s">
        <v>2457</v>
      </c>
      <c r="E17" s="756" t="s">
        <v>2458</v>
      </c>
      <c r="F17" s="756" t="s">
        <v>2459</v>
      </c>
      <c r="G17" s="757" t="s">
        <v>2460</v>
      </c>
      <c r="H17" s="757" t="s">
        <v>2461</v>
      </c>
      <c r="I17" s="752" t="s">
        <v>2462</v>
      </c>
      <c r="J17" s="752" t="s">
        <v>2463</v>
      </c>
      <c r="K17" s="752" t="s">
        <v>2464</v>
      </c>
      <c r="L17" s="752" t="s">
        <v>2465</v>
      </c>
      <c r="M17" s="752" t="s">
        <v>2466</v>
      </c>
      <c r="N17" s="788" t="s">
        <v>2467</v>
      </c>
      <c r="O17" s="752" t="s">
        <v>2468</v>
      </c>
      <c r="P17" s="758" t="s">
        <v>2469</v>
      </c>
      <c r="Q17" s="158"/>
    </row>
    <row r="18" spans="1:17" ht="15.5" x14ac:dyDescent="0.35">
      <c r="A18" s="1048" t="s">
        <v>2417</v>
      </c>
      <c r="B18" s="755"/>
      <c r="C18" s="158"/>
      <c r="D18" s="756"/>
      <c r="E18" s="756"/>
      <c r="F18" s="756"/>
      <c r="G18" s="757"/>
      <c r="H18" s="757"/>
      <c r="I18" s="752"/>
      <c r="J18" s="752"/>
      <c r="K18" s="752"/>
      <c r="L18" s="752"/>
      <c r="M18" s="752"/>
      <c r="N18" s="788">
        <f>C2</f>
        <v>0.78686047711281404</v>
      </c>
      <c r="O18" s="752"/>
      <c r="P18" s="758"/>
      <c r="Q18" s="1049">
        <f>D2</f>
        <v>3</v>
      </c>
    </row>
    <row r="19" spans="1:17" ht="15.5" x14ac:dyDescent="0.35">
      <c r="A19" s="1048" t="s">
        <v>2423</v>
      </c>
      <c r="B19" s="755"/>
      <c r="C19" s="158"/>
      <c r="D19" s="756"/>
      <c r="E19" s="756"/>
      <c r="F19" s="756"/>
      <c r="G19" s="757"/>
      <c r="H19" s="757"/>
      <c r="I19" s="752"/>
      <c r="J19" s="752"/>
      <c r="K19" s="752"/>
      <c r="L19" s="752"/>
      <c r="M19" s="752"/>
      <c r="N19" s="788">
        <f t="shared" ref="N19:N30" si="1">C3</f>
        <v>1.7429565890762324</v>
      </c>
      <c r="O19" s="752"/>
      <c r="P19" s="758"/>
      <c r="Q19" s="1049">
        <f t="shared" ref="Q19:Q30" si="2">D3</f>
        <v>8</v>
      </c>
    </row>
    <row r="20" spans="1:17" ht="15.5" x14ac:dyDescent="0.35">
      <c r="A20" s="1048" t="s">
        <v>2426</v>
      </c>
      <c r="B20" s="755"/>
      <c r="C20" s="158"/>
      <c r="D20" s="756"/>
      <c r="E20" s="756"/>
      <c r="F20" s="756"/>
      <c r="G20" s="757"/>
      <c r="H20" s="757"/>
      <c r="I20" s="752"/>
      <c r="J20" s="752"/>
      <c r="K20" s="752"/>
      <c r="L20" s="752"/>
      <c r="M20" s="752"/>
      <c r="N20" s="788">
        <f t="shared" si="1"/>
        <v>1.7892275289669113</v>
      </c>
      <c r="O20" s="752"/>
      <c r="P20" s="758"/>
      <c r="Q20" s="1049">
        <f t="shared" si="2"/>
        <v>3</v>
      </c>
    </row>
    <row r="21" spans="1:17" ht="15.5" x14ac:dyDescent="0.35">
      <c r="A21" s="1048" t="s">
        <v>2428</v>
      </c>
      <c r="B21" s="755"/>
      <c r="C21" s="158"/>
      <c r="D21" s="756"/>
      <c r="E21" s="756"/>
      <c r="F21" s="756"/>
      <c r="G21" s="757"/>
      <c r="H21" s="757"/>
      <c r="I21" s="752"/>
      <c r="J21" s="752"/>
      <c r="K21" s="752"/>
      <c r="L21" s="752"/>
      <c r="M21" s="752"/>
      <c r="N21" s="788">
        <f t="shared" si="1"/>
        <v>1.3809400770844993</v>
      </c>
      <c r="O21" s="752"/>
      <c r="P21" s="758"/>
      <c r="Q21" s="1049">
        <f t="shared" si="2"/>
        <v>30</v>
      </c>
    </row>
    <row r="22" spans="1:17" ht="15.5" x14ac:dyDescent="0.35">
      <c r="A22" s="1048" t="s">
        <v>2430</v>
      </c>
      <c r="B22" s="755"/>
      <c r="C22" s="158"/>
      <c r="D22" s="756"/>
      <c r="E22" s="756"/>
      <c r="F22" s="756"/>
      <c r="G22" s="757"/>
      <c r="H22" s="757"/>
      <c r="I22" s="752"/>
      <c r="J22" s="752"/>
      <c r="K22" s="752"/>
      <c r="L22" s="752"/>
      <c r="M22" s="752"/>
      <c r="N22" s="788">
        <f t="shared" si="1"/>
        <v>0.323678625511305</v>
      </c>
      <c r="O22" s="752"/>
      <c r="P22" s="758"/>
      <c r="Q22" s="1049">
        <f t="shared" si="2"/>
        <v>23</v>
      </c>
    </row>
    <row r="23" spans="1:17" ht="15.5" x14ac:dyDescent="0.35">
      <c r="A23" s="1048" t="s">
        <v>2432</v>
      </c>
      <c r="B23" s="755"/>
      <c r="C23" s="158"/>
      <c r="D23" s="756"/>
      <c r="E23" s="756"/>
      <c r="F23" s="756"/>
      <c r="G23" s="757"/>
      <c r="H23" s="757"/>
      <c r="I23" s="752"/>
      <c r="J23" s="752"/>
      <c r="K23" s="752"/>
      <c r="L23" s="752"/>
      <c r="M23" s="752"/>
      <c r="N23" s="788">
        <f t="shared" si="1"/>
        <v>1.2084262985360623</v>
      </c>
      <c r="O23" s="752"/>
      <c r="P23" s="758"/>
      <c r="Q23" s="1049">
        <f t="shared" si="2"/>
        <v>7</v>
      </c>
    </row>
    <row r="24" spans="1:17" ht="15.5" x14ac:dyDescent="0.35">
      <c r="A24" s="1048" t="s">
        <v>2434</v>
      </c>
      <c r="B24" s="755"/>
      <c r="C24" s="158"/>
      <c r="D24" s="756"/>
      <c r="E24" s="756"/>
      <c r="F24" s="756"/>
      <c r="G24" s="757"/>
      <c r="H24" s="757"/>
      <c r="I24" s="752"/>
      <c r="J24" s="752"/>
      <c r="K24" s="752"/>
      <c r="L24" s="752"/>
      <c r="M24" s="752"/>
      <c r="N24" s="788">
        <f t="shared" si="1"/>
        <v>2.0793883206673902</v>
      </c>
      <c r="O24" s="752"/>
      <c r="P24" s="758"/>
      <c r="Q24" s="1049">
        <f t="shared" si="2"/>
        <v>2</v>
      </c>
    </row>
    <row r="25" spans="1:17" ht="15.5" x14ac:dyDescent="0.35">
      <c r="A25" s="1048" t="s">
        <v>2436</v>
      </c>
      <c r="B25" s="755"/>
      <c r="C25" s="158"/>
      <c r="D25" s="756"/>
      <c r="E25" s="756"/>
      <c r="F25" s="756"/>
      <c r="G25" s="757"/>
      <c r="H25" s="757"/>
      <c r="I25" s="752"/>
      <c r="J25" s="752"/>
      <c r="K25" s="752"/>
      <c r="L25" s="752"/>
      <c r="M25" s="752"/>
      <c r="N25" s="788">
        <f t="shared" si="1"/>
        <v>0.3286528860698355</v>
      </c>
      <c r="O25" s="752"/>
      <c r="P25" s="758"/>
      <c r="Q25" s="1049">
        <f t="shared" si="2"/>
        <v>32</v>
      </c>
    </row>
    <row r="26" spans="1:17" ht="15.5" x14ac:dyDescent="0.35">
      <c r="A26" s="1048" t="s">
        <v>2438</v>
      </c>
      <c r="B26" s="755"/>
      <c r="C26" s="158"/>
      <c r="D26" s="756"/>
      <c r="E26" s="756"/>
      <c r="F26" s="756"/>
      <c r="G26" s="757"/>
      <c r="H26" s="757"/>
      <c r="I26" s="752"/>
      <c r="J26" s="752"/>
      <c r="K26" s="752"/>
      <c r="L26" s="752"/>
      <c r="M26" s="752"/>
      <c r="N26" s="788">
        <f t="shared" si="1"/>
        <v>0.3248043607462559</v>
      </c>
      <c r="O26" s="752"/>
      <c r="P26" s="758"/>
      <c r="Q26" s="1049">
        <f t="shared" si="2"/>
        <v>19</v>
      </c>
    </row>
    <row r="27" spans="1:17" ht="15.5" x14ac:dyDescent="0.35">
      <c r="A27" s="1048" t="s">
        <v>2440</v>
      </c>
      <c r="B27" s="755"/>
      <c r="C27" s="158"/>
      <c r="D27" s="756"/>
      <c r="E27" s="756"/>
      <c r="F27" s="756"/>
      <c r="G27" s="757"/>
      <c r="H27" s="757"/>
      <c r="I27" s="752"/>
      <c r="J27" s="752"/>
      <c r="K27" s="752"/>
      <c r="L27" s="752"/>
      <c r="M27" s="752"/>
      <c r="N27" s="788" t="str">
        <f t="shared" si="1"/>
        <v>None avaliable</v>
      </c>
      <c r="O27" s="752"/>
      <c r="P27" s="758"/>
      <c r="Q27" s="1049">
        <f t="shared" si="2"/>
        <v>0</v>
      </c>
    </row>
    <row r="28" spans="1:17" ht="15.5" x14ac:dyDescent="0.35">
      <c r="A28" s="1048" t="s">
        <v>418</v>
      </c>
      <c r="B28" s="755"/>
      <c r="C28" s="158"/>
      <c r="D28" s="756"/>
      <c r="E28" s="756"/>
      <c r="F28" s="756"/>
      <c r="G28" s="757"/>
      <c r="H28" s="757"/>
      <c r="I28" s="752"/>
      <c r="J28" s="752"/>
      <c r="K28" s="752"/>
      <c r="L28" s="752"/>
      <c r="M28" s="752"/>
      <c r="N28" s="788">
        <f t="shared" si="1"/>
        <v>1.8249019594608369</v>
      </c>
      <c r="O28" s="752"/>
      <c r="P28" s="758"/>
      <c r="Q28" s="1049">
        <f t="shared" si="2"/>
        <v>9</v>
      </c>
    </row>
    <row r="29" spans="1:17" ht="15.5" x14ac:dyDescent="0.35">
      <c r="A29" s="1048" t="s">
        <v>2443</v>
      </c>
      <c r="B29" s="755"/>
      <c r="C29" s="158"/>
      <c r="D29" s="756"/>
      <c r="E29" s="756"/>
      <c r="F29" s="756"/>
      <c r="G29" s="757"/>
      <c r="H29" s="757"/>
      <c r="I29" s="752"/>
      <c r="J29" s="752"/>
      <c r="K29" s="752"/>
      <c r="L29" s="752"/>
      <c r="M29" s="752"/>
      <c r="N29" s="788">
        <f t="shared" si="1"/>
        <v>0.87199527966721591</v>
      </c>
      <c r="O29" s="752"/>
      <c r="P29" s="758"/>
      <c r="Q29" s="1049">
        <f t="shared" si="2"/>
        <v>18</v>
      </c>
    </row>
    <row r="30" spans="1:17" ht="15.5" x14ac:dyDescent="0.35">
      <c r="A30" s="1048" t="s">
        <v>2445</v>
      </c>
      <c r="B30" s="755"/>
      <c r="C30" s="158"/>
      <c r="D30" s="756"/>
      <c r="E30" s="756"/>
      <c r="F30" s="756"/>
      <c r="G30" s="757"/>
      <c r="H30" s="757"/>
      <c r="I30" s="752"/>
      <c r="J30" s="752"/>
      <c r="K30" s="752"/>
      <c r="L30" s="752"/>
      <c r="M30" s="752"/>
      <c r="N30" s="788">
        <f t="shared" si="1"/>
        <v>0.37159988323397952</v>
      </c>
      <c r="O30" s="752"/>
      <c r="P30" s="758"/>
      <c r="Q30" s="1049">
        <f t="shared" si="2"/>
        <v>37</v>
      </c>
    </row>
    <row r="31" spans="1:17" ht="15.5" x14ac:dyDescent="0.35">
      <c r="A31" s="759" t="s">
        <v>1800</v>
      </c>
      <c r="B31" s="760" t="s">
        <v>2435</v>
      </c>
      <c r="C31" s="761" t="s">
        <v>239</v>
      </c>
      <c r="D31" s="762">
        <v>2027.1858365800003</v>
      </c>
      <c r="E31" s="762">
        <v>60.088813779999988</v>
      </c>
      <c r="F31" s="763">
        <v>10.105347630000001</v>
      </c>
      <c r="G31" s="607">
        <v>33736.493999999999</v>
      </c>
      <c r="H31" s="607" t="str">
        <f>B31</f>
        <v>EMR</v>
      </c>
      <c r="I31" s="764"/>
      <c r="J31" s="764"/>
      <c r="K31" s="769" t="str">
        <f t="shared" ref="K31:K94" si="3">IFERROR((I31/J31),"")</f>
        <v/>
      </c>
      <c r="L31" s="764"/>
      <c r="M31" s="764"/>
      <c r="N31" s="789" t="s">
        <v>2441</v>
      </c>
      <c r="O31" s="765">
        <f t="shared" ref="O31:O36" si="4">VLOOKUP(H31,$B$2:$C$10,2,0)</f>
        <v>2.0793883206673902</v>
      </c>
      <c r="P31" s="739">
        <f>(O31*D31)/1000</f>
        <v>4.2153065524068047</v>
      </c>
      <c r="Q31" s="1050">
        <f>IF(N31="None avaliable",0,1)</f>
        <v>0</v>
      </c>
    </row>
    <row r="32" spans="1:17" ht="15.5" x14ac:dyDescent="0.35">
      <c r="A32" s="766" t="s">
        <v>1890</v>
      </c>
      <c r="B32" s="760" t="s">
        <v>2429</v>
      </c>
      <c r="C32" s="761"/>
      <c r="D32" s="763"/>
      <c r="E32" s="763"/>
      <c r="F32" s="762"/>
      <c r="G32" s="606">
        <v>2923.3519999999999</v>
      </c>
      <c r="H32" s="607" t="str">
        <f t="shared" ref="H32:H38" si="5">B32</f>
        <v>EUR</v>
      </c>
      <c r="I32" s="764"/>
      <c r="J32" s="764"/>
      <c r="K32" s="769" t="str">
        <f t="shared" si="3"/>
        <v/>
      </c>
      <c r="L32" s="764"/>
      <c r="M32" s="764"/>
      <c r="N32" s="789" t="s">
        <v>2441</v>
      </c>
      <c r="O32" s="767">
        <f t="shared" si="4"/>
        <v>1.3809400770844993</v>
      </c>
      <c r="P32" s="739">
        <f>(O32*D32)/1000</f>
        <v>0</v>
      </c>
      <c r="Q32" s="1050">
        <f t="shared" ref="Q32:Q95" si="6">IF(N32="None avaliable",0,1)</f>
        <v>0</v>
      </c>
    </row>
    <row r="33" spans="1:17" ht="15.5" x14ac:dyDescent="0.35">
      <c r="A33" s="759" t="s">
        <v>1891</v>
      </c>
      <c r="B33" s="768" t="s">
        <v>2418</v>
      </c>
      <c r="C33" s="761" t="s">
        <v>2444</v>
      </c>
      <c r="D33" s="762">
        <v>11582.822268049998</v>
      </c>
      <c r="E33" s="762">
        <v>290.50360106999995</v>
      </c>
      <c r="F33" s="763">
        <v>6.9784760500000003</v>
      </c>
      <c r="G33" s="606">
        <v>39871.527999999998</v>
      </c>
      <c r="H33" s="607" t="str">
        <f t="shared" si="5"/>
        <v>AFR</v>
      </c>
      <c r="I33" s="764"/>
      <c r="J33" s="764"/>
      <c r="K33" s="769" t="str">
        <f t="shared" si="3"/>
        <v/>
      </c>
      <c r="L33" s="764"/>
      <c r="M33" s="764"/>
      <c r="N33" s="789" t="s">
        <v>2441</v>
      </c>
      <c r="O33" s="767">
        <f t="shared" si="4"/>
        <v>0.78686047711281404</v>
      </c>
      <c r="P33" s="739">
        <f t="shared" ref="P33:P96" si="7">(O33*D33)/1000</f>
        <v>9.1140650561507481</v>
      </c>
      <c r="Q33" s="1050">
        <f t="shared" si="6"/>
        <v>0</v>
      </c>
    </row>
    <row r="34" spans="1:17" ht="15.5" x14ac:dyDescent="0.35">
      <c r="A34" s="759" t="s">
        <v>1894</v>
      </c>
      <c r="B34" s="760" t="s">
        <v>2429</v>
      </c>
      <c r="C34" s="761" t="s">
        <v>2446</v>
      </c>
      <c r="D34" s="762">
        <v>288.26704437000001</v>
      </c>
      <c r="E34" s="762">
        <v>3695.0678710900002</v>
      </c>
      <c r="F34" s="763">
        <v>10.252712249999998</v>
      </c>
      <c r="G34" s="606">
        <v>78.013999999999996</v>
      </c>
      <c r="H34" s="607" t="str">
        <f t="shared" si="5"/>
        <v>EUR</v>
      </c>
      <c r="I34" s="764"/>
      <c r="J34" s="764"/>
      <c r="K34" s="769" t="str">
        <f t="shared" si="3"/>
        <v/>
      </c>
      <c r="L34" s="764"/>
      <c r="M34" s="764"/>
      <c r="N34" s="789" t="s">
        <v>2441</v>
      </c>
      <c r="O34" s="767">
        <f t="shared" si="4"/>
        <v>1.3809400770844993</v>
      </c>
      <c r="P34" s="739">
        <f t="shared" si="7"/>
        <v>0.39807951447322859</v>
      </c>
      <c r="Q34" s="1050">
        <f t="shared" si="6"/>
        <v>0</v>
      </c>
    </row>
    <row r="35" spans="1:17" ht="15.5" x14ac:dyDescent="0.35">
      <c r="A35" s="766" t="s">
        <v>1895</v>
      </c>
      <c r="B35" s="760" t="s">
        <v>2418</v>
      </c>
      <c r="C35" s="761" t="s">
        <v>2442</v>
      </c>
      <c r="D35" s="763">
        <v>3027.7679747900002</v>
      </c>
      <c r="E35" s="763">
        <v>108.68067169000001</v>
      </c>
      <c r="F35" s="762">
        <v>2.6057949100000002</v>
      </c>
      <c r="G35" s="606">
        <v>27859.305</v>
      </c>
      <c r="H35" s="607" t="str">
        <f t="shared" si="5"/>
        <v>AFR</v>
      </c>
      <c r="I35" s="764"/>
      <c r="J35" s="764"/>
      <c r="K35" s="769" t="str">
        <f t="shared" si="3"/>
        <v/>
      </c>
      <c r="L35" s="764"/>
      <c r="M35" s="764"/>
      <c r="N35" s="789" t="s">
        <v>2441</v>
      </c>
      <c r="O35" s="767">
        <f t="shared" si="4"/>
        <v>0.78686047711281404</v>
      </c>
      <c r="P35" s="739">
        <f t="shared" si="7"/>
        <v>2.3824309532301582</v>
      </c>
      <c r="Q35" s="1050">
        <f t="shared" si="6"/>
        <v>0</v>
      </c>
    </row>
    <row r="36" spans="1:17" ht="15.5" x14ac:dyDescent="0.35">
      <c r="A36" s="766" t="s">
        <v>1900</v>
      </c>
      <c r="B36" s="768" t="s">
        <v>2424</v>
      </c>
      <c r="C36" s="761" t="s">
        <v>2446</v>
      </c>
      <c r="D36" s="763">
        <v>63.909020639999994</v>
      </c>
      <c r="E36" s="763">
        <v>639.58270263999998</v>
      </c>
      <c r="F36" s="762">
        <v>4.7017536200000007</v>
      </c>
      <c r="G36" s="606">
        <v>99.922999999999988</v>
      </c>
      <c r="H36" s="607" t="str">
        <f t="shared" si="5"/>
        <v>AMR</v>
      </c>
      <c r="I36" s="764"/>
      <c r="J36" s="764"/>
      <c r="K36" s="769" t="str">
        <f t="shared" si="3"/>
        <v/>
      </c>
      <c r="L36" s="764"/>
      <c r="M36" s="764"/>
      <c r="N36" s="789" t="s">
        <v>2441</v>
      </c>
      <c r="O36" s="767">
        <f t="shared" si="4"/>
        <v>1.7429565890762324</v>
      </c>
      <c r="P36" s="739">
        <f t="shared" si="7"/>
        <v>0.11139064862589693</v>
      </c>
      <c r="Q36" s="1050">
        <f t="shared" si="6"/>
        <v>0</v>
      </c>
    </row>
    <row r="37" spans="1:17" ht="15.5" x14ac:dyDescent="0.35">
      <c r="A37" s="759" t="s">
        <v>1902</v>
      </c>
      <c r="B37" s="760" t="s">
        <v>2424</v>
      </c>
      <c r="C37" s="761" t="s">
        <v>2446</v>
      </c>
      <c r="D37" s="762">
        <v>56677.338946240001</v>
      </c>
      <c r="E37" s="762">
        <v>1305.3950195299999</v>
      </c>
      <c r="F37" s="763">
        <v>8.7885045999999996</v>
      </c>
      <c r="G37" s="606">
        <v>43417.764999999999</v>
      </c>
      <c r="H37" s="607" t="str">
        <f t="shared" si="5"/>
        <v>AMR</v>
      </c>
      <c r="I37" s="769">
        <v>16.38</v>
      </c>
      <c r="J37" s="769">
        <v>37.9</v>
      </c>
      <c r="K37" s="769">
        <f>IFERROR((I37/J37),"")</f>
        <v>0.43218997361477574</v>
      </c>
      <c r="L37" s="769"/>
      <c r="M37" s="769"/>
      <c r="N37" s="789">
        <f>K37</f>
        <v>0.43218997361477574</v>
      </c>
      <c r="O37" s="767">
        <f>(I37/D37)*1000</f>
        <v>0.28900439407603234</v>
      </c>
      <c r="P37" s="739">
        <f t="shared" si="7"/>
        <v>16.380000000000003</v>
      </c>
      <c r="Q37" s="1050">
        <f t="shared" si="6"/>
        <v>1</v>
      </c>
    </row>
    <row r="38" spans="1:17" ht="15.5" x14ac:dyDescent="0.35">
      <c r="A38" s="766" t="s">
        <v>1904</v>
      </c>
      <c r="B38" s="768" t="s">
        <v>2429</v>
      </c>
      <c r="C38" s="761" t="s">
        <v>2444</v>
      </c>
      <c r="D38" s="763">
        <v>1067.7473534699998</v>
      </c>
      <c r="E38" s="763">
        <v>366.04922485000003</v>
      </c>
      <c r="F38" s="762">
        <v>10.117633819999998</v>
      </c>
      <c r="G38" s="606">
        <v>2916.95</v>
      </c>
      <c r="H38" s="607" t="str">
        <f t="shared" si="5"/>
        <v>EUR</v>
      </c>
      <c r="I38" s="769"/>
      <c r="J38" s="769"/>
      <c r="K38" s="769" t="str">
        <f t="shared" si="3"/>
        <v/>
      </c>
      <c r="L38" s="769"/>
      <c r="M38" s="769"/>
      <c r="N38" s="789" t="s">
        <v>2441</v>
      </c>
      <c r="O38" s="767">
        <f>VLOOKUP(H38,$B$2:$C$10,2,0)</f>
        <v>1.3809400770844993</v>
      </c>
      <c r="P38" s="739">
        <f t="shared" si="7"/>
        <v>1.4744951126076316</v>
      </c>
      <c r="Q38" s="1050">
        <f t="shared" si="6"/>
        <v>0</v>
      </c>
    </row>
    <row r="39" spans="1:17" ht="15.5" x14ac:dyDescent="0.35">
      <c r="A39" s="766" t="s">
        <v>1908</v>
      </c>
      <c r="B39" s="768" t="s">
        <v>2433</v>
      </c>
      <c r="C39" s="761" t="s">
        <v>2446</v>
      </c>
      <c r="D39" s="763">
        <v>116327.60820079999</v>
      </c>
      <c r="E39" s="763">
        <v>4887.80078125</v>
      </c>
      <c r="F39" s="762">
        <v>9.3147392300000007</v>
      </c>
      <c r="G39" s="606">
        <v>23799.556</v>
      </c>
      <c r="H39" s="606" t="s">
        <v>2437</v>
      </c>
      <c r="I39" s="769">
        <v>21.77</v>
      </c>
      <c r="J39" s="769">
        <v>122.12</v>
      </c>
      <c r="K39" s="769">
        <f t="shared" si="3"/>
        <v>0.17826727808712742</v>
      </c>
      <c r="L39" s="769"/>
      <c r="M39" s="769"/>
      <c r="N39" s="789">
        <f>K39</f>
        <v>0.17826727808712742</v>
      </c>
      <c r="O39" s="767">
        <f>(I39/D39)*1000</f>
        <v>0.18714388043138916</v>
      </c>
      <c r="P39" s="739">
        <f t="shared" si="7"/>
        <v>21.77</v>
      </c>
      <c r="Q39" s="1050">
        <f t="shared" si="6"/>
        <v>1</v>
      </c>
    </row>
    <row r="40" spans="1:17" ht="15.5" x14ac:dyDescent="0.35">
      <c r="A40" s="759" t="s">
        <v>1909</v>
      </c>
      <c r="B40" s="760" t="s">
        <v>2429</v>
      </c>
      <c r="C40" s="761" t="s">
        <v>2446</v>
      </c>
      <c r="D40" s="762">
        <v>39584.809778420007</v>
      </c>
      <c r="E40" s="762">
        <v>4610.9667968800004</v>
      </c>
      <c r="F40" s="763">
        <v>10.367790220000002</v>
      </c>
      <c r="G40" s="606">
        <v>8584.9259999999995</v>
      </c>
      <c r="H40" s="606" t="s">
        <v>2439</v>
      </c>
      <c r="I40" s="769">
        <v>6.6</v>
      </c>
      <c r="J40" s="769">
        <v>33.630000000000003</v>
      </c>
      <c r="K40" s="769">
        <f t="shared" si="3"/>
        <v>0.19625334522747545</v>
      </c>
      <c r="L40" s="769"/>
      <c r="M40" s="769"/>
      <c r="N40" s="789">
        <f>K40</f>
        <v>0.19625334522747545</v>
      </c>
      <c r="O40" s="767">
        <f>(I40/D40)*1000</f>
        <v>0.166730623108818</v>
      </c>
      <c r="P40" s="739">
        <f t="shared" si="7"/>
        <v>6.6</v>
      </c>
      <c r="Q40" s="1050">
        <f t="shared" si="6"/>
        <v>1</v>
      </c>
    </row>
    <row r="41" spans="1:17" ht="15.5" x14ac:dyDescent="0.35">
      <c r="A41" s="766" t="s">
        <v>1913</v>
      </c>
      <c r="B41" s="768" t="s">
        <v>2429</v>
      </c>
      <c r="C41" s="761" t="s">
        <v>2444</v>
      </c>
      <c r="D41" s="763">
        <v>3563.5135989900009</v>
      </c>
      <c r="E41" s="763">
        <v>370.52453613000006</v>
      </c>
      <c r="F41" s="762">
        <v>6.7139520599999996</v>
      </c>
      <c r="G41" s="606">
        <v>9617.4840000000004</v>
      </c>
      <c r="H41" s="606" t="str">
        <f t="shared" ref="H41:H46" si="8">B41</f>
        <v>EUR</v>
      </c>
      <c r="I41" s="769"/>
      <c r="J41" s="769"/>
      <c r="K41" s="769" t="str">
        <f t="shared" si="3"/>
        <v/>
      </c>
      <c r="L41" s="769"/>
      <c r="M41" s="769"/>
      <c r="N41" s="789" t="s">
        <v>2441</v>
      </c>
      <c r="O41" s="767">
        <f t="shared" ref="O41:O46" si="9">VLOOKUP(H41,$B$2:$C$10,2,0)</f>
        <v>1.3809400770844993</v>
      </c>
      <c r="P41" s="739">
        <f t="shared" si="7"/>
        <v>4.9209987440809133</v>
      </c>
      <c r="Q41" s="1050">
        <f t="shared" si="6"/>
        <v>0</v>
      </c>
    </row>
    <row r="42" spans="1:17" ht="15.5" x14ac:dyDescent="0.35">
      <c r="A42" s="766" t="s">
        <v>1915</v>
      </c>
      <c r="B42" s="768" t="s">
        <v>2424</v>
      </c>
      <c r="C42" s="761" t="s">
        <v>2446</v>
      </c>
      <c r="D42" s="763">
        <v>673.84033538999995</v>
      </c>
      <c r="E42" s="763">
        <v>1741.9187011700001</v>
      </c>
      <c r="F42" s="762">
        <v>5.7143855099999996</v>
      </c>
      <c r="G42" s="606">
        <v>386.83800000000002</v>
      </c>
      <c r="H42" s="606" t="str">
        <f t="shared" si="8"/>
        <v>AMR</v>
      </c>
      <c r="I42" s="769"/>
      <c r="J42" s="769"/>
      <c r="K42" s="769" t="str">
        <f t="shared" si="3"/>
        <v/>
      </c>
      <c r="L42" s="769"/>
      <c r="M42" s="769"/>
      <c r="N42" s="789" t="s">
        <v>2441</v>
      </c>
      <c r="O42" s="767">
        <f t="shared" si="9"/>
        <v>1.7429565890762324</v>
      </c>
      <c r="P42" s="739">
        <f t="shared" si="7"/>
        <v>1.1744744525533388</v>
      </c>
      <c r="Q42" s="1050">
        <f t="shared" si="6"/>
        <v>0</v>
      </c>
    </row>
    <row r="43" spans="1:17" ht="15.5" x14ac:dyDescent="0.35">
      <c r="A43" s="766" t="s">
        <v>1917</v>
      </c>
      <c r="B43" s="768" t="s">
        <v>2435</v>
      </c>
      <c r="C43" s="761" t="s">
        <v>2446</v>
      </c>
      <c r="D43" s="763">
        <v>1548.4894028899998</v>
      </c>
      <c r="E43" s="763">
        <v>1128.7558593799997</v>
      </c>
      <c r="F43" s="762">
        <v>4.9750661800000007</v>
      </c>
      <c r="G43" s="606">
        <v>1371.855</v>
      </c>
      <c r="H43" s="606" t="str">
        <f t="shared" si="8"/>
        <v>EMR</v>
      </c>
      <c r="I43" s="769"/>
      <c r="J43" s="769"/>
      <c r="K43" s="769" t="str">
        <f t="shared" si="3"/>
        <v/>
      </c>
      <c r="L43" s="769"/>
      <c r="M43" s="769"/>
      <c r="N43" s="789" t="s">
        <v>2441</v>
      </c>
      <c r="O43" s="767">
        <f t="shared" si="9"/>
        <v>2.0793883206673902</v>
      </c>
      <c r="P43" s="739">
        <f t="shared" si="7"/>
        <v>3.2199107790466863</v>
      </c>
      <c r="Q43" s="1050">
        <f t="shared" si="6"/>
        <v>0</v>
      </c>
    </row>
    <row r="44" spans="1:17" ht="15.5" x14ac:dyDescent="0.35">
      <c r="A44" s="759" t="s">
        <v>1919</v>
      </c>
      <c r="B44" s="768" t="s">
        <v>2427</v>
      </c>
      <c r="C44" s="761" t="s">
        <v>2442</v>
      </c>
      <c r="D44" s="762">
        <v>5132.8762158900008</v>
      </c>
      <c r="E44" s="762">
        <v>31.841487879999999</v>
      </c>
      <c r="F44" s="763">
        <v>2.46311474</v>
      </c>
      <c r="G44" s="606">
        <v>161200.886</v>
      </c>
      <c r="H44" s="606" t="str">
        <f t="shared" si="8"/>
        <v>SEAR</v>
      </c>
      <c r="I44" s="769"/>
      <c r="J44" s="769"/>
      <c r="K44" s="769" t="str">
        <f t="shared" si="3"/>
        <v/>
      </c>
      <c r="L44" s="769"/>
      <c r="M44" s="769"/>
      <c r="N44" s="789" t="s">
        <v>2441</v>
      </c>
      <c r="O44" s="767">
        <f t="shared" si="9"/>
        <v>1.7892275289669113</v>
      </c>
      <c r="P44" s="739">
        <f t="shared" si="7"/>
        <v>9.1838834282498958</v>
      </c>
      <c r="Q44" s="1050">
        <f t="shared" si="6"/>
        <v>0</v>
      </c>
    </row>
    <row r="45" spans="1:17" ht="15.5" x14ac:dyDescent="0.35">
      <c r="A45" s="759" t="s">
        <v>1921</v>
      </c>
      <c r="B45" s="760" t="s">
        <v>2424</v>
      </c>
      <c r="C45" s="761" t="s">
        <v>2446</v>
      </c>
      <c r="D45" s="762">
        <v>329.23237510000001</v>
      </c>
      <c r="E45" s="762">
        <v>1158.3837890599998</v>
      </c>
      <c r="F45" s="763">
        <v>6.9671435399999995</v>
      </c>
      <c r="G45" s="606">
        <v>284.21699999999998</v>
      </c>
      <c r="H45" s="606" t="str">
        <f t="shared" si="8"/>
        <v>AMR</v>
      </c>
      <c r="I45" s="769"/>
      <c r="J45" s="769"/>
      <c r="K45" s="769" t="str">
        <f t="shared" si="3"/>
        <v/>
      </c>
      <c r="L45" s="769"/>
      <c r="M45" s="769"/>
      <c r="N45" s="789" t="s">
        <v>2441</v>
      </c>
      <c r="O45" s="767">
        <f t="shared" si="9"/>
        <v>1.7429565890762324</v>
      </c>
      <c r="P45" s="739">
        <f t="shared" si="7"/>
        <v>0.57383773751776279</v>
      </c>
      <c r="Q45" s="1050">
        <f t="shared" si="6"/>
        <v>0</v>
      </c>
    </row>
    <row r="46" spans="1:17" ht="15.5" x14ac:dyDescent="0.35">
      <c r="A46" s="759" t="s">
        <v>1922</v>
      </c>
      <c r="B46" s="760" t="s">
        <v>2429</v>
      </c>
      <c r="C46" s="761" t="s">
        <v>2444</v>
      </c>
      <c r="D46" s="762">
        <v>3424.1476886699993</v>
      </c>
      <c r="E46" s="762">
        <v>360.98037720000002</v>
      </c>
      <c r="F46" s="763">
        <v>6.0653333700000003</v>
      </c>
      <c r="G46" s="606">
        <v>9485.7720000000008</v>
      </c>
      <c r="H46" s="606" t="str">
        <f t="shared" si="8"/>
        <v>EUR</v>
      </c>
      <c r="I46" s="769"/>
      <c r="J46" s="769"/>
      <c r="K46" s="769" t="str">
        <f t="shared" si="3"/>
        <v/>
      </c>
      <c r="L46" s="769"/>
      <c r="M46" s="769"/>
      <c r="N46" s="789" t="s">
        <v>2441</v>
      </c>
      <c r="O46" s="767">
        <f t="shared" si="9"/>
        <v>1.3809400770844993</v>
      </c>
      <c r="P46" s="739">
        <f t="shared" si="7"/>
        <v>4.7285427731406591</v>
      </c>
      <c r="Q46" s="1050">
        <f t="shared" si="6"/>
        <v>0</v>
      </c>
    </row>
    <row r="47" spans="1:17" ht="15.5" x14ac:dyDescent="0.35">
      <c r="A47" s="766" t="s">
        <v>1925</v>
      </c>
      <c r="B47" s="768" t="s">
        <v>2429</v>
      </c>
      <c r="C47" s="761" t="s">
        <v>2446</v>
      </c>
      <c r="D47" s="763">
        <v>46871.267297280006</v>
      </c>
      <c r="E47" s="763">
        <v>4171.0532226599998</v>
      </c>
      <c r="F47" s="762">
        <v>10.280132289999999</v>
      </c>
      <c r="G47" s="606">
        <v>11237.273999999999</v>
      </c>
      <c r="H47" s="606" t="s">
        <v>2439</v>
      </c>
      <c r="I47" s="769">
        <v>7.22</v>
      </c>
      <c r="J47" s="769">
        <v>52.96</v>
      </c>
      <c r="K47" s="769">
        <f t="shared" si="3"/>
        <v>0.13632930513595165</v>
      </c>
      <c r="L47" s="769"/>
      <c r="M47" s="769"/>
      <c r="N47" s="789">
        <f>K47</f>
        <v>0.13632930513595165</v>
      </c>
      <c r="O47" s="767">
        <f>(I47/D47)*1000</f>
        <v>0.15403893293960466</v>
      </c>
      <c r="P47" s="739">
        <f t="shared" si="7"/>
        <v>7.22</v>
      </c>
      <c r="Q47" s="1050">
        <f t="shared" si="6"/>
        <v>1</v>
      </c>
    </row>
    <row r="48" spans="1:17" ht="15.5" x14ac:dyDescent="0.35">
      <c r="A48" s="766" t="s">
        <v>1927</v>
      </c>
      <c r="B48" s="768" t="s">
        <v>2424</v>
      </c>
      <c r="C48" s="761" t="s">
        <v>2444</v>
      </c>
      <c r="D48" s="763">
        <v>104.04404897999999</v>
      </c>
      <c r="E48" s="763">
        <v>289.58398437999995</v>
      </c>
      <c r="F48" s="762">
        <v>5.9032087299999985</v>
      </c>
      <c r="G48" s="606">
        <v>359.28800000000001</v>
      </c>
      <c r="H48" s="770" t="str">
        <f>B48</f>
        <v>AMR</v>
      </c>
      <c r="I48" s="769"/>
      <c r="J48" s="769"/>
      <c r="K48" s="769" t="str">
        <f t="shared" si="3"/>
        <v/>
      </c>
      <c r="L48" s="769"/>
      <c r="M48" s="769"/>
      <c r="N48" s="789" t="s">
        <v>2441</v>
      </c>
      <c r="O48" s="767">
        <f t="shared" ref="O48:O53" si="10">VLOOKUP(H48,$B$2:$C$10,2,0)</f>
        <v>1.7429565890762324</v>
      </c>
      <c r="P48" s="739">
        <f t="shared" si="7"/>
        <v>0.18134426072386123</v>
      </c>
      <c r="Q48" s="1050">
        <f t="shared" si="6"/>
        <v>0</v>
      </c>
    </row>
    <row r="49" spans="1:17" ht="15.5" x14ac:dyDescent="0.35">
      <c r="A49" s="759" t="s">
        <v>1929</v>
      </c>
      <c r="B49" s="768" t="s">
        <v>2418</v>
      </c>
      <c r="C49" s="761" t="s">
        <v>239</v>
      </c>
      <c r="D49" s="762">
        <v>330.96797393000003</v>
      </c>
      <c r="E49" s="762">
        <v>31.294389719999998</v>
      </c>
      <c r="F49" s="763">
        <v>3.9918196199999998</v>
      </c>
      <c r="G49" s="606">
        <v>10575.951999999999</v>
      </c>
      <c r="H49" s="770" t="str">
        <f t="shared" ref="H49:H61" si="11">B49</f>
        <v>AFR</v>
      </c>
      <c r="I49" s="769"/>
      <c r="J49" s="769"/>
      <c r="K49" s="769" t="str">
        <f t="shared" si="3"/>
        <v/>
      </c>
      <c r="L49" s="769"/>
      <c r="M49" s="769"/>
      <c r="N49" s="789" t="s">
        <v>2441</v>
      </c>
      <c r="O49" s="767">
        <f t="shared" si="10"/>
        <v>0.78686047711281404</v>
      </c>
      <c r="P49" s="739">
        <f t="shared" si="7"/>
        <v>0.26042561787562124</v>
      </c>
      <c r="Q49" s="1050">
        <f t="shared" si="6"/>
        <v>0</v>
      </c>
    </row>
    <row r="50" spans="1:17" ht="15.5" x14ac:dyDescent="0.35">
      <c r="A50" s="766" t="s">
        <v>1934</v>
      </c>
      <c r="B50" s="760" t="s">
        <v>2427</v>
      </c>
      <c r="C50" s="761" t="s">
        <v>2442</v>
      </c>
      <c r="D50" s="763">
        <v>71.741231120000009</v>
      </c>
      <c r="E50" s="763">
        <v>91.11316681000001</v>
      </c>
      <c r="F50" s="762">
        <v>3.6580796199999996</v>
      </c>
      <c r="G50" s="606">
        <v>787.38600000000008</v>
      </c>
      <c r="H50" s="770" t="str">
        <f t="shared" si="11"/>
        <v>SEAR</v>
      </c>
      <c r="I50" s="769"/>
      <c r="J50" s="769"/>
      <c r="K50" s="769" t="str">
        <f t="shared" si="3"/>
        <v/>
      </c>
      <c r="L50" s="769"/>
      <c r="M50" s="769"/>
      <c r="N50" s="789" t="s">
        <v>2441</v>
      </c>
      <c r="O50" s="767">
        <f t="shared" si="10"/>
        <v>1.7892275289669113</v>
      </c>
      <c r="P50" s="739">
        <f t="shared" si="7"/>
        <v>0.12836138568188171</v>
      </c>
      <c r="Q50" s="1050">
        <f t="shared" si="6"/>
        <v>0</v>
      </c>
    </row>
    <row r="51" spans="1:17" ht="15.5" x14ac:dyDescent="0.35">
      <c r="A51" s="759" t="s">
        <v>2470</v>
      </c>
      <c r="B51" s="760" t="s">
        <v>2424</v>
      </c>
      <c r="C51" s="761" t="s">
        <v>2442</v>
      </c>
      <c r="D51" s="762">
        <v>2161.7238889099999</v>
      </c>
      <c r="E51" s="762">
        <v>201.56488037</v>
      </c>
      <c r="F51" s="763">
        <v>6.6170139299999988</v>
      </c>
      <c r="G51" s="606">
        <v>10724.705</v>
      </c>
      <c r="H51" s="770" t="str">
        <f t="shared" si="11"/>
        <v>AMR</v>
      </c>
      <c r="I51" s="769"/>
      <c r="J51" s="769"/>
      <c r="K51" s="769" t="str">
        <f t="shared" si="3"/>
        <v/>
      </c>
      <c r="L51" s="769"/>
      <c r="M51" s="769"/>
      <c r="N51" s="789" t="s">
        <v>2441</v>
      </c>
      <c r="O51" s="767">
        <f t="shared" si="10"/>
        <v>1.7429565890762324</v>
      </c>
      <c r="P51" s="739">
        <f t="shared" si="7"/>
        <v>3.7677908959391817</v>
      </c>
      <c r="Q51" s="1050">
        <f t="shared" si="6"/>
        <v>0</v>
      </c>
    </row>
    <row r="52" spans="1:17" ht="15.5" x14ac:dyDescent="0.35">
      <c r="A52" s="759" t="s">
        <v>1937</v>
      </c>
      <c r="B52" s="760" t="s">
        <v>2429</v>
      </c>
      <c r="C52" s="761" t="s">
        <v>2444</v>
      </c>
      <c r="D52" s="762">
        <v>1513.8606933600004</v>
      </c>
      <c r="E52" s="762">
        <v>428.15188599000004</v>
      </c>
      <c r="F52" s="763">
        <v>9.3395366699999993</v>
      </c>
      <c r="G52" s="606">
        <v>3535.9610000000002</v>
      </c>
      <c r="H52" s="770" t="str">
        <f t="shared" si="11"/>
        <v>EUR</v>
      </c>
      <c r="I52" s="769"/>
      <c r="J52" s="769"/>
      <c r="K52" s="769" t="str">
        <f t="shared" si="3"/>
        <v/>
      </c>
      <c r="L52" s="769"/>
      <c r="M52" s="769"/>
      <c r="N52" s="789" t="s">
        <v>2441</v>
      </c>
      <c r="O52" s="767">
        <f t="shared" si="10"/>
        <v>1.3809400770844993</v>
      </c>
      <c r="P52" s="739">
        <f t="shared" si="7"/>
        <v>2.0905509025837521</v>
      </c>
      <c r="Q52" s="1050">
        <f t="shared" si="6"/>
        <v>0</v>
      </c>
    </row>
    <row r="53" spans="1:17" ht="15.5" x14ac:dyDescent="0.35">
      <c r="A53" s="766" t="s">
        <v>1941</v>
      </c>
      <c r="B53" s="760" t="s">
        <v>2418</v>
      </c>
      <c r="C53" s="761" t="s">
        <v>2444</v>
      </c>
      <c r="D53" s="763">
        <v>825.76509136999994</v>
      </c>
      <c r="E53" s="763">
        <v>373.78515625</v>
      </c>
      <c r="F53" s="762">
        <v>5.7262992899999992</v>
      </c>
      <c r="G53" s="606">
        <v>2209.1970000000001</v>
      </c>
      <c r="H53" s="770" t="str">
        <f t="shared" si="11"/>
        <v>AFR</v>
      </c>
      <c r="I53" s="769"/>
      <c r="J53" s="769"/>
      <c r="K53" s="769" t="str">
        <f t="shared" si="3"/>
        <v/>
      </c>
      <c r="L53" s="769"/>
      <c r="M53" s="769"/>
      <c r="N53" s="789" t="s">
        <v>2441</v>
      </c>
      <c r="O53" s="767">
        <f t="shared" si="10"/>
        <v>0.78686047711281404</v>
      </c>
      <c r="P53" s="739">
        <f t="shared" si="7"/>
        <v>0.64976191377850467</v>
      </c>
      <c r="Q53" s="1050">
        <f t="shared" si="6"/>
        <v>0</v>
      </c>
    </row>
    <row r="54" spans="1:17" ht="15.5" x14ac:dyDescent="0.35">
      <c r="A54" s="766" t="s">
        <v>1943</v>
      </c>
      <c r="B54" s="768" t="s">
        <v>2424</v>
      </c>
      <c r="C54" s="761" t="s">
        <v>2444</v>
      </c>
      <c r="D54" s="763">
        <v>159858.08553807001</v>
      </c>
      <c r="E54" s="763">
        <v>776.15283203000001</v>
      </c>
      <c r="F54" s="762">
        <v>8.8702039700000004</v>
      </c>
      <c r="G54" s="606">
        <v>205962.10800000001</v>
      </c>
      <c r="H54" s="770" t="str">
        <f t="shared" si="11"/>
        <v>AMR</v>
      </c>
      <c r="I54" s="769">
        <v>103.28</v>
      </c>
      <c r="J54" s="769">
        <v>179.82</v>
      </c>
      <c r="K54" s="769">
        <f t="shared" si="3"/>
        <v>0.57435212990768547</v>
      </c>
      <c r="L54" s="769"/>
      <c r="M54" s="769"/>
      <c r="N54" s="789">
        <f>K54</f>
        <v>0.57435212990768547</v>
      </c>
      <c r="O54" s="767">
        <f>(I54/D54)*1000</f>
        <v>0.64607304442792168</v>
      </c>
      <c r="P54" s="739">
        <f t="shared" si="7"/>
        <v>103.28000000000002</v>
      </c>
      <c r="Q54" s="1050">
        <f t="shared" si="6"/>
        <v>1</v>
      </c>
    </row>
    <row r="55" spans="1:17" ht="15.5" x14ac:dyDescent="0.35">
      <c r="A55" s="759" t="s">
        <v>2471</v>
      </c>
      <c r="B55" s="760" t="s">
        <v>2433</v>
      </c>
      <c r="C55" s="761" t="s">
        <v>2446</v>
      </c>
      <c r="D55" s="762">
        <v>308.65761729000002</v>
      </c>
      <c r="E55" s="762">
        <v>739.2253417999998</v>
      </c>
      <c r="F55" s="763">
        <v>2.3870890100000004</v>
      </c>
      <c r="G55" s="606">
        <v>417.54200000000003</v>
      </c>
      <c r="H55" s="770" t="str">
        <f t="shared" si="11"/>
        <v>WPR</v>
      </c>
      <c r="I55" s="769"/>
      <c r="J55" s="769"/>
      <c r="K55" s="769" t="str">
        <f t="shared" si="3"/>
        <v/>
      </c>
      <c r="L55" s="769"/>
      <c r="M55" s="769"/>
      <c r="N55" s="789" t="s">
        <v>2441</v>
      </c>
      <c r="O55" s="767">
        <f t="shared" ref="O55:O61" si="12">VLOOKUP(H55,$B$2:$C$10,2,0)</f>
        <v>1.2084262985360623</v>
      </c>
      <c r="P55" s="739">
        <f t="shared" si="7"/>
        <v>0.37298998197671523</v>
      </c>
      <c r="Q55" s="1050">
        <f t="shared" si="6"/>
        <v>0</v>
      </c>
    </row>
    <row r="56" spans="1:17" ht="15.5" x14ac:dyDescent="0.35">
      <c r="A56" s="766" t="s">
        <v>1948</v>
      </c>
      <c r="B56" s="768" t="s">
        <v>2429</v>
      </c>
      <c r="C56" s="761" t="s">
        <v>2444</v>
      </c>
      <c r="D56" s="763">
        <v>4120.0120712200005</v>
      </c>
      <c r="E56" s="763">
        <v>572.04486083999996</v>
      </c>
      <c r="F56" s="762">
        <v>8.2027320900000014</v>
      </c>
      <c r="G56" s="606">
        <v>7202.1980000000012</v>
      </c>
      <c r="H56" s="770" t="str">
        <f t="shared" si="11"/>
        <v>EUR</v>
      </c>
      <c r="I56" s="769"/>
      <c r="J56" s="769"/>
      <c r="K56" s="769" t="str">
        <f t="shared" si="3"/>
        <v/>
      </c>
      <c r="L56" s="769"/>
      <c r="M56" s="769"/>
      <c r="N56" s="789" t="s">
        <v>2441</v>
      </c>
      <c r="O56" s="767">
        <f t="shared" si="12"/>
        <v>1.3809400770844993</v>
      </c>
      <c r="P56" s="739">
        <f t="shared" si="7"/>
        <v>5.6894897872196148</v>
      </c>
      <c r="Q56" s="1050">
        <f t="shared" si="6"/>
        <v>0</v>
      </c>
    </row>
    <row r="57" spans="1:17" ht="15.5" x14ac:dyDescent="0.35">
      <c r="A57" s="759" t="s">
        <v>1951</v>
      </c>
      <c r="B57" s="768" t="s">
        <v>2418</v>
      </c>
      <c r="C57" s="761" t="s">
        <v>239</v>
      </c>
      <c r="D57" s="762">
        <v>606.97324989000003</v>
      </c>
      <c r="E57" s="762">
        <v>33.514759060000003</v>
      </c>
      <c r="F57" s="763">
        <v>5.8253006899999988</v>
      </c>
      <c r="G57" s="606">
        <v>18110.624</v>
      </c>
      <c r="H57" s="770" t="str">
        <f t="shared" si="11"/>
        <v>AFR</v>
      </c>
      <c r="I57" s="769"/>
      <c r="J57" s="769"/>
      <c r="K57" s="769" t="str">
        <f t="shared" si="3"/>
        <v/>
      </c>
      <c r="L57" s="769"/>
      <c r="M57" s="769"/>
      <c r="N57" s="789" t="s">
        <v>2441</v>
      </c>
      <c r="O57" s="767">
        <f t="shared" si="12"/>
        <v>0.78686047711281404</v>
      </c>
      <c r="P57" s="739">
        <f t="shared" si="7"/>
        <v>0.47760326100316075</v>
      </c>
      <c r="Q57" s="1050">
        <f t="shared" si="6"/>
        <v>0</v>
      </c>
    </row>
    <row r="58" spans="1:17" ht="15.5" x14ac:dyDescent="0.35">
      <c r="A58" s="766" t="s">
        <v>1953</v>
      </c>
      <c r="B58" s="760" t="s">
        <v>2418</v>
      </c>
      <c r="C58" s="761" t="s">
        <v>239</v>
      </c>
      <c r="D58" s="763">
        <v>197.68203872999999</v>
      </c>
      <c r="E58" s="763">
        <v>19.38197899</v>
      </c>
      <c r="F58" s="762">
        <v>6.5785689399999994</v>
      </c>
      <c r="G58" s="606">
        <v>10199.27</v>
      </c>
      <c r="H58" s="770" t="str">
        <f t="shared" si="11"/>
        <v>AFR</v>
      </c>
      <c r="I58" s="769"/>
      <c r="J58" s="769"/>
      <c r="K58" s="769" t="str">
        <f t="shared" si="3"/>
        <v/>
      </c>
      <c r="L58" s="769"/>
      <c r="M58" s="769"/>
      <c r="N58" s="789" t="s">
        <v>2441</v>
      </c>
      <c r="O58" s="767">
        <f t="shared" si="12"/>
        <v>0.78686047711281404</v>
      </c>
      <c r="P58" s="739">
        <f t="shared" si="7"/>
        <v>0.15554818331172157</v>
      </c>
      <c r="Q58" s="1050">
        <f t="shared" si="6"/>
        <v>0</v>
      </c>
    </row>
    <row r="59" spans="1:17" ht="15.5" x14ac:dyDescent="0.35">
      <c r="A59" s="759" t="s">
        <v>2472</v>
      </c>
      <c r="B59" s="768" t="s">
        <v>2418</v>
      </c>
      <c r="C59" s="761" t="s">
        <v>2442</v>
      </c>
      <c r="D59" s="762">
        <v>76.943514960000016</v>
      </c>
      <c r="E59" s="762">
        <v>144.38288879000004</v>
      </c>
      <c r="F59" s="763">
        <v>4.8186092399999989</v>
      </c>
      <c r="G59" s="606">
        <v>532.91300000000001</v>
      </c>
      <c r="H59" s="770" t="str">
        <f t="shared" si="11"/>
        <v>AFR</v>
      </c>
      <c r="I59" s="769"/>
      <c r="J59" s="769"/>
      <c r="K59" s="769" t="str">
        <f t="shared" si="3"/>
        <v/>
      </c>
      <c r="L59" s="769"/>
      <c r="M59" s="769"/>
      <c r="N59" s="789" t="s">
        <v>2441</v>
      </c>
      <c r="O59" s="767">
        <f t="shared" si="12"/>
        <v>0.78686047711281404</v>
      </c>
      <c r="P59" s="739">
        <f t="shared" si="7"/>
        <v>6.0543810892162556E-2</v>
      </c>
      <c r="Q59" s="1050">
        <f t="shared" si="6"/>
        <v>0</v>
      </c>
    </row>
    <row r="60" spans="1:17" ht="15.5" x14ac:dyDescent="0.35">
      <c r="A60" s="766" t="s">
        <v>1956</v>
      </c>
      <c r="B60" s="768" t="s">
        <v>2433</v>
      </c>
      <c r="C60" s="761" t="s">
        <v>2442</v>
      </c>
      <c r="D60" s="763">
        <v>1118.0711732799998</v>
      </c>
      <c r="E60" s="763">
        <v>72.051651000000007</v>
      </c>
      <c r="F60" s="762">
        <v>6.1943159100000003</v>
      </c>
      <c r="G60" s="606">
        <v>15517.635</v>
      </c>
      <c r="H60" s="770" t="str">
        <f t="shared" si="11"/>
        <v>WPR</v>
      </c>
      <c r="I60" s="769"/>
      <c r="J60" s="769"/>
      <c r="K60" s="769" t="str">
        <f t="shared" si="3"/>
        <v/>
      </c>
      <c r="L60" s="769"/>
      <c r="M60" s="769"/>
      <c r="N60" s="789" t="s">
        <v>2441</v>
      </c>
      <c r="O60" s="767">
        <f t="shared" si="12"/>
        <v>1.2084262985360623</v>
      </c>
      <c r="P60" s="739">
        <f t="shared" si="7"/>
        <v>1.3511066094266224</v>
      </c>
      <c r="Q60" s="1050">
        <f t="shared" si="6"/>
        <v>0</v>
      </c>
    </row>
    <row r="61" spans="1:17" ht="15.5" x14ac:dyDescent="0.35">
      <c r="A61" s="766" t="s">
        <v>1957</v>
      </c>
      <c r="B61" s="760" t="s">
        <v>2418</v>
      </c>
      <c r="C61" s="761" t="s">
        <v>2442</v>
      </c>
      <c r="D61" s="763">
        <v>1452.91473696</v>
      </c>
      <c r="E61" s="763">
        <v>63.62799072</v>
      </c>
      <c r="F61" s="762">
        <v>4.69952345</v>
      </c>
      <c r="G61" s="606">
        <v>22834.522000000004</v>
      </c>
      <c r="H61" s="770" t="str">
        <f t="shared" si="11"/>
        <v>AFR</v>
      </c>
      <c r="I61" s="769"/>
      <c r="J61" s="769"/>
      <c r="K61" s="769" t="str">
        <f t="shared" si="3"/>
        <v/>
      </c>
      <c r="L61" s="769"/>
      <c r="M61" s="769"/>
      <c r="N61" s="789" t="s">
        <v>2441</v>
      </c>
      <c r="O61" s="767">
        <f t="shared" si="12"/>
        <v>0.78686047711281404</v>
      </c>
      <c r="P61" s="739">
        <f t="shared" si="7"/>
        <v>1.1432411831285842</v>
      </c>
      <c r="Q61" s="1050">
        <f t="shared" si="6"/>
        <v>0</v>
      </c>
    </row>
    <row r="62" spans="1:17" ht="15.5" x14ac:dyDescent="0.35">
      <c r="A62" s="759" t="s">
        <v>1958</v>
      </c>
      <c r="B62" s="760" t="s">
        <v>2424</v>
      </c>
      <c r="C62" s="761" t="s">
        <v>2446</v>
      </c>
      <c r="D62" s="762">
        <v>163180.74546658999</v>
      </c>
      <c r="E62" s="762">
        <v>4539.1396484400011</v>
      </c>
      <c r="F62" s="763">
        <v>10.510691640000001</v>
      </c>
      <c r="G62" s="606">
        <v>35949.708999999995</v>
      </c>
      <c r="H62" s="606" t="s">
        <v>2437</v>
      </c>
      <c r="I62" s="769">
        <v>43.09</v>
      </c>
      <c r="J62" s="769">
        <v>152.36000000000001</v>
      </c>
      <c r="K62" s="769">
        <f t="shared" si="3"/>
        <v>0.28281701233919665</v>
      </c>
      <c r="L62" s="769"/>
      <c r="M62" s="769"/>
      <c r="N62" s="789">
        <f>K62</f>
        <v>0.28281701233919665</v>
      </c>
      <c r="O62" s="767">
        <f>(I62/D62)*1000</f>
        <v>0.26406301721928555</v>
      </c>
      <c r="P62" s="739">
        <f t="shared" si="7"/>
        <v>43.09</v>
      </c>
      <c r="Q62" s="1050">
        <f t="shared" si="6"/>
        <v>1</v>
      </c>
    </row>
    <row r="63" spans="1:17" ht="15.5" x14ac:dyDescent="0.35">
      <c r="A63" s="759" t="s">
        <v>1962</v>
      </c>
      <c r="B63" s="768" t="s">
        <v>2418</v>
      </c>
      <c r="C63" s="761" t="s">
        <v>239</v>
      </c>
      <c r="D63" s="762">
        <v>99.920336079999998</v>
      </c>
      <c r="E63" s="762">
        <v>21.979352950000003</v>
      </c>
      <c r="F63" s="763">
        <v>6.308991429999999</v>
      </c>
      <c r="G63" s="606">
        <v>4546.1000000000004</v>
      </c>
      <c r="H63" s="770" t="str">
        <f>B63</f>
        <v>AFR</v>
      </c>
      <c r="I63" s="769"/>
      <c r="J63" s="769"/>
      <c r="K63" s="769" t="str">
        <f t="shared" si="3"/>
        <v/>
      </c>
      <c r="L63" s="769"/>
      <c r="M63" s="769"/>
      <c r="N63" s="789" t="s">
        <v>2441</v>
      </c>
      <c r="O63" s="767">
        <f>VLOOKUP(H63,$B$2:$C$10,2,0)</f>
        <v>0.78686047711281404</v>
      </c>
      <c r="P63" s="739">
        <f t="shared" si="7"/>
        <v>7.8623363321181527E-2</v>
      </c>
      <c r="Q63" s="1050">
        <f t="shared" si="6"/>
        <v>0</v>
      </c>
    </row>
    <row r="64" spans="1:17" ht="15.5" x14ac:dyDescent="0.35">
      <c r="A64" s="766" t="s">
        <v>1963</v>
      </c>
      <c r="B64" s="760" t="s">
        <v>2418</v>
      </c>
      <c r="C64" s="761" t="s">
        <v>239</v>
      </c>
      <c r="D64" s="763">
        <v>495.19690555</v>
      </c>
      <c r="E64" s="763">
        <v>35.347442630000003</v>
      </c>
      <c r="F64" s="762">
        <v>4.5239543900000001</v>
      </c>
      <c r="G64" s="606">
        <v>14009.413</v>
      </c>
      <c r="H64" s="770" t="str">
        <f>B64</f>
        <v>AFR</v>
      </c>
      <c r="I64" s="769"/>
      <c r="J64" s="769"/>
      <c r="K64" s="769" t="str">
        <f t="shared" si="3"/>
        <v/>
      </c>
      <c r="L64" s="769"/>
      <c r="M64" s="769"/>
      <c r="N64" s="789" t="s">
        <v>2441</v>
      </c>
      <c r="O64" s="767">
        <f>VLOOKUP(H64,$B$2:$C$10,2,0)</f>
        <v>0.78686047711281404</v>
      </c>
      <c r="P64" s="739">
        <f t="shared" si="7"/>
        <v>0.38965087336586207</v>
      </c>
      <c r="Q64" s="1050">
        <f t="shared" si="6"/>
        <v>0</v>
      </c>
    </row>
    <row r="65" spans="1:17" ht="15.5" x14ac:dyDescent="0.35">
      <c r="A65" s="766" t="s">
        <v>1965</v>
      </c>
      <c r="B65" s="768" t="s">
        <v>2424</v>
      </c>
      <c r="C65" s="761" t="s">
        <v>2446</v>
      </c>
      <c r="D65" s="763">
        <v>20251.849693400003</v>
      </c>
      <c r="E65" s="763">
        <v>1140.1347656299997</v>
      </c>
      <c r="F65" s="762">
        <v>8.3026914599999984</v>
      </c>
      <c r="G65" s="606">
        <v>17762.681</v>
      </c>
      <c r="H65" s="606" t="s">
        <v>2437</v>
      </c>
      <c r="I65" s="769">
        <v>5.46</v>
      </c>
      <c r="J65" s="769">
        <v>15.74</v>
      </c>
      <c r="K65" s="769">
        <f t="shared" si="3"/>
        <v>0.3468869123252859</v>
      </c>
      <c r="L65" s="769"/>
      <c r="M65" s="769"/>
      <c r="N65" s="789">
        <f>K65</f>
        <v>0.3468869123252859</v>
      </c>
      <c r="O65" s="767">
        <f>(I65/D65)*1000</f>
        <v>0.26960500313111607</v>
      </c>
      <c r="P65" s="739">
        <f t="shared" si="7"/>
        <v>5.46</v>
      </c>
      <c r="Q65" s="1050">
        <f t="shared" si="6"/>
        <v>1</v>
      </c>
    </row>
    <row r="66" spans="1:17" ht="15.5" x14ac:dyDescent="0.35">
      <c r="A66" s="759" t="s">
        <v>1966</v>
      </c>
      <c r="B66" s="760" t="s">
        <v>2433</v>
      </c>
      <c r="C66" s="761" t="s">
        <v>2444</v>
      </c>
      <c r="D66" s="762">
        <v>548817.10263121</v>
      </c>
      <c r="E66" s="762">
        <v>392.84603881999999</v>
      </c>
      <c r="F66" s="763">
        <v>4.8887229000000003</v>
      </c>
      <c r="G66" s="606">
        <v>1397028.5530000001</v>
      </c>
      <c r="H66" s="770" t="str">
        <f>B66</f>
        <v>WPR</v>
      </c>
      <c r="I66" s="769">
        <v>375.5</v>
      </c>
      <c r="J66" s="769">
        <v>387.62</v>
      </c>
      <c r="K66" s="769">
        <f t="shared" si="3"/>
        <v>0.96873226355709197</v>
      </c>
      <c r="L66" s="769"/>
      <c r="M66" s="769"/>
      <c r="N66" s="789">
        <f>K66</f>
        <v>0.96873226355709197</v>
      </c>
      <c r="O66" s="767">
        <f>(I66/D66)*1000</f>
        <v>0.6841987944612683</v>
      </c>
      <c r="P66" s="739">
        <f t="shared" si="7"/>
        <v>375.50000000000006</v>
      </c>
      <c r="Q66" s="1050">
        <f t="shared" si="6"/>
        <v>1</v>
      </c>
    </row>
    <row r="67" spans="1:17" ht="15.5" x14ac:dyDescent="0.35">
      <c r="A67" s="759" t="s">
        <v>1967</v>
      </c>
      <c r="B67" s="760" t="s">
        <v>2424</v>
      </c>
      <c r="C67" s="761" t="s">
        <v>2444</v>
      </c>
      <c r="D67" s="762">
        <v>21416.6067062</v>
      </c>
      <c r="E67" s="762">
        <v>444.06356811999996</v>
      </c>
      <c r="F67" s="763">
        <v>7.2974233599999989</v>
      </c>
      <c r="G67" s="606">
        <v>48228.697</v>
      </c>
      <c r="H67" s="606" t="s">
        <v>2437</v>
      </c>
      <c r="I67" s="769">
        <v>5.08</v>
      </c>
      <c r="J67" s="769">
        <v>22.05</v>
      </c>
      <c r="K67" s="769">
        <f t="shared" si="3"/>
        <v>0.23038548752834467</v>
      </c>
      <c r="L67" s="769"/>
      <c r="M67" s="769"/>
      <c r="N67" s="789">
        <f>K67</f>
        <v>0.23038548752834467</v>
      </c>
      <c r="O67" s="767">
        <f>(I67/D67)*1000</f>
        <v>0.23719910766860025</v>
      </c>
      <c r="P67" s="739">
        <f t="shared" si="7"/>
        <v>5.08</v>
      </c>
      <c r="Q67" s="1050">
        <f t="shared" si="6"/>
        <v>1</v>
      </c>
    </row>
    <row r="68" spans="1:17" ht="15.5" x14ac:dyDescent="0.35">
      <c r="A68" s="759" t="s">
        <v>1968</v>
      </c>
      <c r="B68" s="768" t="s">
        <v>2418</v>
      </c>
      <c r="C68" s="761" t="s">
        <v>239</v>
      </c>
      <c r="D68" s="762">
        <v>45.229234940000005</v>
      </c>
      <c r="E68" s="762">
        <v>58.17833327999999</v>
      </c>
      <c r="F68" s="763">
        <v>7.7752222999999985</v>
      </c>
      <c r="G68" s="606">
        <v>777.42399999999998</v>
      </c>
      <c r="H68" s="770" t="str">
        <f>B68</f>
        <v>AFR</v>
      </c>
      <c r="I68" s="769"/>
      <c r="J68" s="769"/>
      <c r="K68" s="769" t="str">
        <f t="shared" si="3"/>
        <v/>
      </c>
      <c r="L68" s="769"/>
      <c r="M68" s="769"/>
      <c r="N68" s="789" t="s">
        <v>2441</v>
      </c>
      <c r="O68" s="767">
        <f t="shared" ref="O68:O76" si="13">VLOOKUP(H68,$B$2:$C$10,2,0)</f>
        <v>0.78686047711281404</v>
      </c>
      <c r="P68" s="739">
        <f t="shared" si="7"/>
        <v>3.5589097384335966E-2</v>
      </c>
      <c r="Q68" s="1050">
        <f t="shared" si="6"/>
        <v>0</v>
      </c>
    </row>
    <row r="69" spans="1:17" ht="15.5" x14ac:dyDescent="0.35">
      <c r="A69" s="766" t="s">
        <v>2473</v>
      </c>
      <c r="B69" s="760" t="s">
        <v>2418</v>
      </c>
      <c r="C69" s="761" t="s">
        <v>2442</v>
      </c>
      <c r="D69" s="763">
        <v>291.98872168000003</v>
      </c>
      <c r="E69" s="763">
        <v>58.448619839999978</v>
      </c>
      <c r="F69" s="762">
        <v>3.4153521099999997</v>
      </c>
      <c r="G69" s="606">
        <v>4995.6479999999992</v>
      </c>
      <c r="H69" s="770" t="str">
        <f t="shared" ref="H69:H76" si="14">B69</f>
        <v>AFR</v>
      </c>
      <c r="I69" s="769"/>
      <c r="J69" s="769"/>
      <c r="K69" s="769" t="str">
        <f t="shared" si="3"/>
        <v/>
      </c>
      <c r="L69" s="769"/>
      <c r="M69" s="769"/>
      <c r="N69" s="789" t="s">
        <v>2441</v>
      </c>
      <c r="O69" s="767">
        <f t="shared" si="13"/>
        <v>0.78686047711281404</v>
      </c>
      <c r="P69" s="739">
        <f t="shared" si="7"/>
        <v>0.22975438485268548</v>
      </c>
      <c r="Q69" s="1050">
        <f t="shared" si="6"/>
        <v>0</v>
      </c>
    </row>
    <row r="70" spans="1:17" ht="15.5" x14ac:dyDescent="0.35">
      <c r="A70" s="766" t="s">
        <v>1971</v>
      </c>
      <c r="B70" s="768" t="s">
        <v>2433</v>
      </c>
      <c r="C70" s="761" t="s">
        <v>2444</v>
      </c>
      <c r="D70" s="763">
        <v>8.1527094000000009</v>
      </c>
      <c r="E70" s="763">
        <v>467.23104857999999</v>
      </c>
      <c r="F70" s="762">
        <v>2.8576514699999995</v>
      </c>
      <c r="G70" s="606">
        <v>17.449000000000002</v>
      </c>
      <c r="H70" s="770" t="str">
        <f t="shared" si="14"/>
        <v>WPR</v>
      </c>
      <c r="I70" s="769"/>
      <c r="J70" s="769"/>
      <c r="K70" s="769" t="str">
        <f t="shared" si="3"/>
        <v/>
      </c>
      <c r="L70" s="769"/>
      <c r="M70" s="769"/>
      <c r="N70" s="789" t="s">
        <v>2441</v>
      </c>
      <c r="O70" s="767">
        <f t="shared" si="13"/>
        <v>1.2084262985360623</v>
      </c>
      <c r="P70" s="739">
        <f t="shared" si="7"/>
        <v>9.8519484432821637E-3</v>
      </c>
      <c r="Q70" s="1050">
        <f t="shared" si="6"/>
        <v>0</v>
      </c>
    </row>
    <row r="71" spans="1:17" ht="15.5" x14ac:dyDescent="0.35">
      <c r="A71" s="766" t="s">
        <v>1972</v>
      </c>
      <c r="B71" s="768" t="s">
        <v>2424</v>
      </c>
      <c r="C71" s="761" t="s">
        <v>2444</v>
      </c>
      <c r="D71" s="763">
        <v>4285.0491800500004</v>
      </c>
      <c r="E71" s="763">
        <v>891.26055907999978</v>
      </c>
      <c r="F71" s="762">
        <v>7.8228602399999998</v>
      </c>
      <c r="G71" s="606">
        <v>4807.8520000000008</v>
      </c>
      <c r="H71" s="770" t="str">
        <f t="shared" si="14"/>
        <v>AMR</v>
      </c>
      <c r="I71" s="769"/>
      <c r="J71" s="769"/>
      <c r="K71" s="769" t="str">
        <f t="shared" si="3"/>
        <v/>
      </c>
      <c r="L71" s="769"/>
      <c r="M71" s="769"/>
      <c r="N71" s="789" t="s">
        <v>2441</v>
      </c>
      <c r="O71" s="767">
        <f t="shared" si="13"/>
        <v>1.7429565890762324</v>
      </c>
      <c r="P71" s="739">
        <f t="shared" si="7"/>
        <v>7.468654702883855</v>
      </c>
      <c r="Q71" s="1050">
        <f t="shared" si="6"/>
        <v>0</v>
      </c>
    </row>
    <row r="72" spans="1:17" ht="15.5" x14ac:dyDescent="0.35">
      <c r="A72" s="759" t="s">
        <v>1973</v>
      </c>
      <c r="B72" s="768" t="s">
        <v>2418</v>
      </c>
      <c r="C72" s="761" t="s">
        <v>2442</v>
      </c>
      <c r="D72" s="762">
        <v>1465.0516647600002</v>
      </c>
      <c r="E72" s="762">
        <v>63.398895260000003</v>
      </c>
      <c r="F72" s="763">
        <v>4.4219818100000001</v>
      </c>
      <c r="G72" s="606">
        <v>23108.472000000002</v>
      </c>
      <c r="H72" s="770" t="str">
        <f t="shared" si="14"/>
        <v>AFR</v>
      </c>
      <c r="I72" s="769"/>
      <c r="J72" s="769"/>
      <c r="K72" s="769" t="str">
        <f t="shared" si="3"/>
        <v/>
      </c>
      <c r="L72" s="769"/>
      <c r="M72" s="769"/>
      <c r="N72" s="789" t="s">
        <v>2441</v>
      </c>
      <c r="O72" s="767">
        <f t="shared" si="13"/>
        <v>0.78686047711281404</v>
      </c>
      <c r="P72" s="739">
        <f t="shared" si="7"/>
        <v>1.1527912519279762</v>
      </c>
      <c r="Q72" s="1050">
        <f t="shared" si="6"/>
        <v>0</v>
      </c>
    </row>
    <row r="73" spans="1:17" ht="15.5" x14ac:dyDescent="0.35">
      <c r="A73" s="759" t="s">
        <v>1974</v>
      </c>
      <c r="B73" s="760" t="s">
        <v>2429</v>
      </c>
      <c r="C73" s="761" t="s">
        <v>2446</v>
      </c>
      <c r="D73" s="762">
        <v>3361.3268692400002</v>
      </c>
      <c r="E73" s="762">
        <v>795.52081298999985</v>
      </c>
      <c r="F73" s="763">
        <v>6.7879567099999987</v>
      </c>
      <c r="G73" s="606">
        <v>4225.3159999999998</v>
      </c>
      <c r="H73" s="770" t="str">
        <f t="shared" si="14"/>
        <v>EUR</v>
      </c>
      <c r="I73" s="769"/>
      <c r="J73" s="769"/>
      <c r="K73" s="769" t="str">
        <f t="shared" si="3"/>
        <v/>
      </c>
      <c r="L73" s="769"/>
      <c r="M73" s="769"/>
      <c r="N73" s="789" t="s">
        <v>2441</v>
      </c>
      <c r="O73" s="767">
        <f t="shared" si="13"/>
        <v>1.3809400770844993</v>
      </c>
      <c r="P73" s="739">
        <f t="shared" si="7"/>
        <v>4.6417909859144846</v>
      </c>
      <c r="Q73" s="1050">
        <f t="shared" si="6"/>
        <v>0</v>
      </c>
    </row>
    <row r="74" spans="1:17" ht="15.5" x14ac:dyDescent="0.35">
      <c r="A74" s="759" t="s">
        <v>1975</v>
      </c>
      <c r="B74" s="760" t="s">
        <v>2424</v>
      </c>
      <c r="C74" s="761" t="s">
        <v>2444</v>
      </c>
      <c r="D74" s="762">
        <v>11174.546615280002</v>
      </c>
      <c r="E74" s="762">
        <v>974.96954346000007</v>
      </c>
      <c r="F74" s="763">
        <v>12.81401348</v>
      </c>
      <c r="G74" s="606">
        <v>11461.431999999999</v>
      </c>
      <c r="H74" s="770" t="str">
        <f t="shared" si="14"/>
        <v>AMR</v>
      </c>
      <c r="I74" s="771"/>
      <c r="J74" s="771"/>
      <c r="K74" s="769" t="str">
        <f t="shared" si="3"/>
        <v/>
      </c>
      <c r="L74" s="771"/>
      <c r="M74" s="771"/>
      <c r="N74" s="789" t="s">
        <v>2441</v>
      </c>
      <c r="O74" s="767">
        <f t="shared" si="13"/>
        <v>1.7429565890762324</v>
      </c>
      <c r="P74" s="739">
        <f t="shared" si="7"/>
        <v>19.476749653041789</v>
      </c>
      <c r="Q74" s="1050">
        <f t="shared" si="6"/>
        <v>0</v>
      </c>
    </row>
    <row r="75" spans="1:17" ht="15.5" x14ac:dyDescent="0.35">
      <c r="A75" s="759" t="s">
        <v>2474</v>
      </c>
      <c r="B75" s="760" t="s">
        <v>2424</v>
      </c>
      <c r="C75" s="761"/>
      <c r="D75" s="762"/>
      <c r="E75" s="762"/>
      <c r="F75" s="763"/>
      <c r="G75" s="606"/>
      <c r="H75" s="770" t="str">
        <f t="shared" si="14"/>
        <v>AMR</v>
      </c>
      <c r="I75" s="769">
        <v>2.44</v>
      </c>
      <c r="J75" s="769">
        <v>0.28000000000000003</v>
      </c>
      <c r="K75" s="769">
        <f t="shared" si="3"/>
        <v>8.7142857142857135</v>
      </c>
      <c r="L75" s="769"/>
      <c r="M75" s="769"/>
      <c r="N75" s="789">
        <f>K75</f>
        <v>8.7142857142857135</v>
      </c>
      <c r="O75" s="767">
        <f t="shared" si="13"/>
        <v>1.7429565890762324</v>
      </c>
      <c r="P75" s="739">
        <f t="shared" si="7"/>
        <v>0</v>
      </c>
      <c r="Q75" s="1050">
        <f t="shared" si="6"/>
        <v>1</v>
      </c>
    </row>
    <row r="76" spans="1:17" ht="15.5" x14ac:dyDescent="0.35">
      <c r="A76" s="766" t="s">
        <v>1977</v>
      </c>
      <c r="B76" s="768" t="s">
        <v>2429</v>
      </c>
      <c r="C76" s="761" t="s">
        <v>2446</v>
      </c>
      <c r="D76" s="763">
        <v>1339.6728401900002</v>
      </c>
      <c r="E76" s="763">
        <v>1582.1088867199996</v>
      </c>
      <c r="F76" s="762">
        <v>6.8090329200000017</v>
      </c>
      <c r="G76" s="606">
        <v>847.00800000000004</v>
      </c>
      <c r="H76" s="770" t="str">
        <f t="shared" si="14"/>
        <v>EUR</v>
      </c>
      <c r="I76" s="769"/>
      <c r="J76" s="769"/>
      <c r="K76" s="769" t="str">
        <f t="shared" si="3"/>
        <v/>
      </c>
      <c r="L76" s="769"/>
      <c r="M76" s="769"/>
      <c r="N76" s="789" t="s">
        <v>2441</v>
      </c>
      <c r="O76" s="767">
        <f t="shared" si="13"/>
        <v>1.3809400770844993</v>
      </c>
      <c r="P76" s="739">
        <f t="shared" si="7"/>
        <v>1.8500079151999889</v>
      </c>
      <c r="Q76" s="1050">
        <f t="shared" si="6"/>
        <v>0</v>
      </c>
    </row>
    <row r="77" spans="1:17" ht="15.5" x14ac:dyDescent="0.35">
      <c r="A77" s="759" t="s">
        <v>1978</v>
      </c>
      <c r="B77" s="760" t="s">
        <v>2429</v>
      </c>
      <c r="C77" s="761" t="s">
        <v>2446</v>
      </c>
      <c r="D77" s="762">
        <v>13531.638274299999</v>
      </c>
      <c r="E77" s="762">
        <v>1284.0467529299999</v>
      </c>
      <c r="F77" s="763">
        <v>7.2427568400000011</v>
      </c>
      <c r="G77" s="606">
        <v>10538.275</v>
      </c>
      <c r="H77" s="606" t="s">
        <v>2437</v>
      </c>
      <c r="I77" s="769">
        <v>5.68</v>
      </c>
      <c r="J77" s="769">
        <v>11.92</v>
      </c>
      <c r="K77" s="769">
        <f t="shared" si="3"/>
        <v>0.47651006711409394</v>
      </c>
      <c r="L77" s="769"/>
      <c r="M77" s="769"/>
      <c r="N77" s="789">
        <f>K77</f>
        <v>0.47651006711409394</v>
      </c>
      <c r="O77" s="767">
        <f>(I77/D77)*1000</f>
        <v>0.41975700834301455</v>
      </c>
      <c r="P77" s="739">
        <f t="shared" si="7"/>
        <v>5.68</v>
      </c>
      <c r="Q77" s="1050">
        <f t="shared" si="6"/>
        <v>1</v>
      </c>
    </row>
    <row r="78" spans="1:17" ht="31" x14ac:dyDescent="0.35">
      <c r="A78" s="759" t="s">
        <v>2475</v>
      </c>
      <c r="B78" s="760" t="s">
        <v>2433</v>
      </c>
      <c r="C78" s="761"/>
      <c r="D78" s="762"/>
      <c r="E78" s="762"/>
      <c r="F78" s="763"/>
      <c r="G78" s="606"/>
      <c r="H78" s="770" t="str">
        <f>B78</f>
        <v>WPR</v>
      </c>
      <c r="I78" s="769"/>
      <c r="J78" s="769"/>
      <c r="K78" s="769" t="str">
        <f t="shared" si="3"/>
        <v/>
      </c>
      <c r="L78" s="769"/>
      <c r="M78" s="769"/>
      <c r="N78" s="789" t="s">
        <v>2441</v>
      </c>
      <c r="O78" s="767">
        <f>VLOOKUP(H78,$B$2:$C$10,2,0)</f>
        <v>1.2084262985360623</v>
      </c>
      <c r="P78" s="739">
        <f t="shared" si="7"/>
        <v>0</v>
      </c>
      <c r="Q78" s="1050">
        <f t="shared" si="6"/>
        <v>0</v>
      </c>
    </row>
    <row r="79" spans="1:17" ht="31" x14ac:dyDescent="0.35">
      <c r="A79" s="766" t="s">
        <v>2476</v>
      </c>
      <c r="B79" s="760" t="s">
        <v>2418</v>
      </c>
      <c r="C79" s="761" t="s">
        <v>239</v>
      </c>
      <c r="D79" s="763">
        <v>1515.1658632100002</v>
      </c>
      <c r="E79" s="763">
        <v>19.884948730000001</v>
      </c>
      <c r="F79" s="762">
        <v>3.9419956200000001</v>
      </c>
      <c r="G79" s="606">
        <v>76196.619000000006</v>
      </c>
      <c r="H79" s="770" t="str">
        <f>B79</f>
        <v>AFR</v>
      </c>
      <c r="I79" s="769"/>
      <c r="J79" s="769"/>
      <c r="K79" s="769" t="str">
        <f t="shared" si="3"/>
        <v/>
      </c>
      <c r="L79" s="769"/>
      <c r="M79" s="769"/>
      <c r="N79" s="789" t="s">
        <v>2441</v>
      </c>
      <c r="O79" s="767">
        <f>VLOOKUP(H79,$B$2:$C$10,2,0)</f>
        <v>0.78686047711281404</v>
      </c>
      <c r="P79" s="739">
        <f t="shared" si="7"/>
        <v>1.1922241340304696</v>
      </c>
      <c r="Q79" s="1050">
        <f t="shared" si="6"/>
        <v>0</v>
      </c>
    </row>
    <row r="80" spans="1:17" ht="15.5" x14ac:dyDescent="0.35">
      <c r="A80" s="766" t="s">
        <v>1979</v>
      </c>
      <c r="B80" s="768" t="s">
        <v>2429</v>
      </c>
      <c r="C80" s="761" t="s">
        <v>2446</v>
      </c>
      <c r="D80" s="763">
        <v>30954.871998079994</v>
      </c>
      <c r="E80" s="763">
        <v>5469.3339843799986</v>
      </c>
      <c r="F80" s="762">
        <v>10.22716522</v>
      </c>
      <c r="G80" s="606">
        <v>5659.7150000000001</v>
      </c>
      <c r="H80" s="606" t="s">
        <v>2439</v>
      </c>
      <c r="I80" s="769">
        <v>3.37</v>
      </c>
      <c r="J80" s="769">
        <v>16.93</v>
      </c>
      <c r="K80" s="769">
        <f t="shared" si="3"/>
        <v>0.19905493207324276</v>
      </c>
      <c r="L80" s="769"/>
      <c r="M80" s="769"/>
      <c r="N80" s="789">
        <f>K80</f>
        <v>0.19905493207324276</v>
      </c>
      <c r="O80" s="767">
        <f>(I80/D80)*1000</f>
        <v>0.10886816137404889</v>
      </c>
      <c r="P80" s="739">
        <f t="shared" si="7"/>
        <v>3.37</v>
      </c>
      <c r="Q80" s="1050">
        <f t="shared" si="6"/>
        <v>1</v>
      </c>
    </row>
    <row r="81" spans="1:17" ht="15.5" x14ac:dyDescent="0.35">
      <c r="A81" s="759" t="s">
        <v>1980</v>
      </c>
      <c r="B81" s="760" t="s">
        <v>2435</v>
      </c>
      <c r="C81" s="761" t="s">
        <v>2442</v>
      </c>
      <c r="D81" s="762">
        <v>75.796705360000004</v>
      </c>
      <c r="E81" s="762">
        <v>81.729095460000011</v>
      </c>
      <c r="F81" s="763">
        <v>4.3893013000000005</v>
      </c>
      <c r="G81" s="606">
        <v>927.41399999999999</v>
      </c>
      <c r="H81" s="770" t="str">
        <f>B81</f>
        <v>EMR</v>
      </c>
      <c r="I81" s="769"/>
      <c r="J81" s="769"/>
      <c r="K81" s="769" t="str">
        <f t="shared" si="3"/>
        <v/>
      </c>
      <c r="L81" s="769"/>
      <c r="M81" s="769"/>
      <c r="N81" s="789" t="s">
        <v>2441</v>
      </c>
      <c r="O81" s="767">
        <f>VLOOKUP(H81,$B$2:$C$10,2,0)</f>
        <v>2.0793883206673902</v>
      </c>
      <c r="P81" s="739">
        <f t="shared" si="7"/>
        <v>0.15761078387065136</v>
      </c>
      <c r="Q81" s="1050">
        <f t="shared" si="6"/>
        <v>0</v>
      </c>
    </row>
    <row r="82" spans="1:17" ht="15.5" x14ac:dyDescent="0.35">
      <c r="A82" s="766" t="s">
        <v>1981</v>
      </c>
      <c r="B82" s="768" t="s">
        <v>2424</v>
      </c>
      <c r="C82" s="761" t="s">
        <v>2444</v>
      </c>
      <c r="D82" s="763">
        <v>28.962231660000004</v>
      </c>
      <c r="E82" s="763">
        <v>395.8644104</v>
      </c>
      <c r="F82" s="762">
        <v>5.4116277699999999</v>
      </c>
      <c r="G82" s="606">
        <v>73.162000000000006</v>
      </c>
      <c r="H82" s="770" t="str">
        <f t="shared" ref="H82:H88" si="15">B82</f>
        <v>AMR</v>
      </c>
      <c r="I82" s="769"/>
      <c r="J82" s="769"/>
      <c r="K82" s="769" t="str">
        <f t="shared" si="3"/>
        <v/>
      </c>
      <c r="L82" s="769"/>
      <c r="M82" s="769"/>
      <c r="N82" s="789" t="s">
        <v>2441</v>
      </c>
      <c r="O82" s="767">
        <f>VLOOKUP(H82,$B$2:$C$10,2,0)</f>
        <v>1.7429565890762324</v>
      </c>
      <c r="P82" s="739">
        <f t="shared" si="7"/>
        <v>5.0479912506149277E-2</v>
      </c>
      <c r="Q82" s="1050">
        <f t="shared" si="6"/>
        <v>0</v>
      </c>
    </row>
    <row r="83" spans="1:17" ht="15.5" x14ac:dyDescent="0.35">
      <c r="A83" s="759" t="s">
        <v>1982</v>
      </c>
      <c r="B83" s="760" t="s">
        <v>2424</v>
      </c>
      <c r="C83" s="761" t="s">
        <v>2444</v>
      </c>
      <c r="D83" s="762">
        <v>4116.6264141199999</v>
      </c>
      <c r="E83" s="762">
        <v>391.00265503000008</v>
      </c>
      <c r="F83" s="763">
        <v>5.9824705100000006</v>
      </c>
      <c r="G83" s="606">
        <v>10528.393999999998</v>
      </c>
      <c r="H83" s="770" t="str">
        <f t="shared" si="15"/>
        <v>AMR</v>
      </c>
      <c r="I83" s="769"/>
      <c r="J83" s="769"/>
      <c r="K83" s="769" t="str">
        <f t="shared" si="3"/>
        <v/>
      </c>
      <c r="L83" s="769"/>
      <c r="M83" s="769"/>
      <c r="N83" s="789" t="s">
        <v>2441</v>
      </c>
      <c r="O83" s="767">
        <f>VLOOKUP(H83,$B$2:$C$10,2,0)</f>
        <v>1.7429565890762324</v>
      </c>
      <c r="P83" s="739">
        <f t="shared" si="7"/>
        <v>7.1751011332557173</v>
      </c>
      <c r="Q83" s="1050">
        <f t="shared" si="6"/>
        <v>0</v>
      </c>
    </row>
    <row r="84" spans="1:17" ht="15.5" x14ac:dyDescent="0.35">
      <c r="A84" s="766" t="s">
        <v>1983</v>
      </c>
      <c r="B84" s="768" t="s">
        <v>2424</v>
      </c>
      <c r="C84" s="761" t="s">
        <v>2444</v>
      </c>
      <c r="D84" s="763">
        <v>8527.4787801500006</v>
      </c>
      <c r="E84" s="763">
        <v>528.20141602000001</v>
      </c>
      <c r="F84" s="762">
        <v>8.5884571099999985</v>
      </c>
      <c r="G84" s="606">
        <v>16144.367999999999</v>
      </c>
      <c r="H84" s="770" t="str">
        <f t="shared" si="15"/>
        <v>AMR</v>
      </c>
      <c r="I84" s="769">
        <v>1.42</v>
      </c>
      <c r="J84" s="769">
        <v>3.27</v>
      </c>
      <c r="K84" s="769">
        <f t="shared" si="3"/>
        <v>0.43425076452599387</v>
      </c>
      <c r="L84" s="769"/>
      <c r="M84" s="769"/>
      <c r="N84" s="789">
        <f>K84</f>
        <v>0.43425076452599387</v>
      </c>
      <c r="O84" s="767">
        <f>(I84/D84)*1000</f>
        <v>0.1665204964573388</v>
      </c>
      <c r="P84" s="739">
        <f t="shared" si="7"/>
        <v>1.42</v>
      </c>
      <c r="Q84" s="1050">
        <f t="shared" si="6"/>
        <v>1</v>
      </c>
    </row>
    <row r="85" spans="1:17" ht="15.5" x14ac:dyDescent="0.35">
      <c r="A85" s="766" t="s">
        <v>1984</v>
      </c>
      <c r="B85" s="768" t="s">
        <v>2435</v>
      </c>
      <c r="C85" s="761" t="s">
        <v>2442</v>
      </c>
      <c r="D85" s="763">
        <v>16956.97800132</v>
      </c>
      <c r="E85" s="763">
        <v>180.82009887999999</v>
      </c>
      <c r="F85" s="762">
        <v>5.3365726500000008</v>
      </c>
      <c r="G85" s="606">
        <v>93778.171999999991</v>
      </c>
      <c r="H85" s="770" t="str">
        <f t="shared" si="15"/>
        <v>EMR</v>
      </c>
      <c r="I85" s="769"/>
      <c r="J85" s="769"/>
      <c r="K85" s="769" t="str">
        <f t="shared" si="3"/>
        <v/>
      </c>
      <c r="L85" s="769"/>
      <c r="M85" s="769"/>
      <c r="N85" s="789" t="s">
        <v>2441</v>
      </c>
      <c r="O85" s="767">
        <f>VLOOKUP(H85,$B$2:$C$10,2,0)</f>
        <v>2.0793883206673902</v>
      </c>
      <c r="P85" s="739">
        <f t="shared" si="7"/>
        <v>35.260142009758674</v>
      </c>
      <c r="Q85" s="1050">
        <f t="shared" si="6"/>
        <v>0</v>
      </c>
    </row>
    <row r="86" spans="1:17" ht="15.5" x14ac:dyDescent="0.35">
      <c r="A86" s="759" t="s">
        <v>1985</v>
      </c>
      <c r="B86" s="760" t="s">
        <v>2424</v>
      </c>
      <c r="C86" s="761" t="s">
        <v>2442</v>
      </c>
      <c r="D86" s="762">
        <v>1788.3992728099997</v>
      </c>
      <c r="E86" s="762">
        <v>283.31176758000004</v>
      </c>
      <c r="F86" s="763">
        <v>7.6303405799999995</v>
      </c>
      <c r="G86" s="606">
        <v>6312.478000000001</v>
      </c>
      <c r="H86" s="770" t="str">
        <f t="shared" si="15"/>
        <v>AMR</v>
      </c>
      <c r="I86" s="769"/>
      <c r="J86" s="769"/>
      <c r="K86" s="769" t="str">
        <f t="shared" si="3"/>
        <v/>
      </c>
      <c r="L86" s="769"/>
      <c r="M86" s="769"/>
      <c r="N86" s="789" t="s">
        <v>2441</v>
      </c>
      <c r="O86" s="767">
        <f>VLOOKUP(H86,$B$2:$C$10,2,0)</f>
        <v>1.7429565890762324</v>
      </c>
      <c r="P86" s="739">
        <f t="shared" si="7"/>
        <v>3.1171022964433313</v>
      </c>
      <c r="Q86" s="1050">
        <f t="shared" si="6"/>
        <v>0</v>
      </c>
    </row>
    <row r="87" spans="1:17" ht="15.5" x14ac:dyDescent="0.35">
      <c r="A87" s="759" t="s">
        <v>1986</v>
      </c>
      <c r="B87" s="768" t="s">
        <v>2418</v>
      </c>
      <c r="C87" s="761" t="s">
        <v>2444</v>
      </c>
      <c r="D87" s="762">
        <v>384.24746279999999</v>
      </c>
      <c r="E87" s="762">
        <v>326.91088866999996</v>
      </c>
      <c r="F87" s="763">
        <v>2.91533971</v>
      </c>
      <c r="G87" s="606">
        <v>1175.3889999999999</v>
      </c>
      <c r="H87" s="770" t="str">
        <f t="shared" si="15"/>
        <v>AFR</v>
      </c>
      <c r="I87" s="769"/>
      <c r="J87" s="769"/>
      <c r="K87" s="769" t="str">
        <f t="shared" si="3"/>
        <v/>
      </c>
      <c r="L87" s="769"/>
      <c r="M87" s="769"/>
      <c r="N87" s="789" t="s">
        <v>2441</v>
      </c>
      <c r="O87" s="767">
        <f>VLOOKUP(H87,$B$2:$C$10,2,0)</f>
        <v>0.78686047711281404</v>
      </c>
      <c r="P87" s="739">
        <f t="shared" si="7"/>
        <v>0.30234914190819628</v>
      </c>
      <c r="Q87" s="1050">
        <f t="shared" si="6"/>
        <v>0</v>
      </c>
    </row>
    <row r="88" spans="1:17" ht="15.5" x14ac:dyDescent="0.35">
      <c r="A88" s="766" t="s">
        <v>1987</v>
      </c>
      <c r="B88" s="760" t="s">
        <v>2418</v>
      </c>
      <c r="C88" s="761" t="s">
        <v>239</v>
      </c>
      <c r="D88" s="763">
        <v>127.23831584000001</v>
      </c>
      <c r="E88" s="763">
        <v>26.251071930000002</v>
      </c>
      <c r="F88" s="762">
        <v>2.8643431699999997</v>
      </c>
      <c r="G88" s="606">
        <v>4846.9759999999997</v>
      </c>
      <c r="H88" s="770" t="str">
        <f t="shared" si="15"/>
        <v>AFR</v>
      </c>
      <c r="I88" s="769"/>
      <c r="J88" s="769"/>
      <c r="K88" s="769" t="str">
        <f t="shared" si="3"/>
        <v/>
      </c>
      <c r="L88" s="769"/>
      <c r="M88" s="769"/>
      <c r="N88" s="789" t="s">
        <v>2441</v>
      </c>
      <c r="O88" s="767">
        <f>VLOOKUP(H88,$B$2:$C$10,2,0)</f>
        <v>0.78686047711281404</v>
      </c>
      <c r="P88" s="739">
        <f t="shared" si="7"/>
        <v>0.10011880190889333</v>
      </c>
      <c r="Q88" s="1050">
        <f t="shared" si="6"/>
        <v>0</v>
      </c>
    </row>
    <row r="89" spans="1:17" ht="15.5" x14ac:dyDescent="0.35">
      <c r="A89" s="759" t="s">
        <v>1988</v>
      </c>
      <c r="B89" s="760" t="s">
        <v>2429</v>
      </c>
      <c r="C89" s="761" t="s">
        <v>2446</v>
      </c>
      <c r="D89" s="762">
        <v>1462.8590187599998</v>
      </c>
      <c r="E89" s="762">
        <v>1112.4659423799999</v>
      </c>
      <c r="F89" s="763">
        <v>6.3863038999999997</v>
      </c>
      <c r="G89" s="606">
        <v>1314.8700000000001</v>
      </c>
      <c r="H89" s="606" t="s">
        <v>2439</v>
      </c>
      <c r="I89" s="769">
        <v>0.85</v>
      </c>
      <c r="J89" s="769">
        <v>1.19</v>
      </c>
      <c r="K89" s="769">
        <f t="shared" si="3"/>
        <v>0.7142857142857143</v>
      </c>
      <c r="L89" s="769"/>
      <c r="M89" s="769"/>
      <c r="N89" s="789">
        <f>K89</f>
        <v>0.7142857142857143</v>
      </c>
      <c r="O89" s="767">
        <f>(I89/D89)*1000</f>
        <v>0.58105394238229935</v>
      </c>
      <c r="P89" s="739">
        <f t="shared" si="7"/>
        <v>0.84999999999999987</v>
      </c>
      <c r="Q89" s="1050">
        <f t="shared" si="6"/>
        <v>1</v>
      </c>
    </row>
    <row r="90" spans="1:17" ht="15.5" x14ac:dyDescent="0.35">
      <c r="A90" s="759" t="s">
        <v>1989</v>
      </c>
      <c r="B90" s="768" t="s">
        <v>2418</v>
      </c>
      <c r="C90" s="761" t="s">
        <v>2442</v>
      </c>
      <c r="D90" s="762">
        <v>286.52047262000002</v>
      </c>
      <c r="E90" s="762">
        <v>217.22372437000004</v>
      </c>
      <c r="F90" s="763">
        <v>7.126944540000002</v>
      </c>
      <c r="G90" s="606">
        <v>1319.011</v>
      </c>
      <c r="H90" s="770" t="str">
        <f>B90</f>
        <v>AFR</v>
      </c>
      <c r="I90" s="769"/>
      <c r="J90" s="769"/>
      <c r="K90" s="769" t="str">
        <f t="shared" si="3"/>
        <v/>
      </c>
      <c r="L90" s="769"/>
      <c r="M90" s="769"/>
      <c r="N90" s="789" t="s">
        <v>2441</v>
      </c>
      <c r="O90" s="767">
        <f>VLOOKUP(H90,$B$2:$C$10,2,0)</f>
        <v>0.78686047711281404</v>
      </c>
      <c r="P90" s="739">
        <f t="shared" si="7"/>
        <v>0.22545163578836219</v>
      </c>
      <c r="Q90" s="1050">
        <f t="shared" si="6"/>
        <v>0</v>
      </c>
    </row>
    <row r="91" spans="1:17" ht="15.5" x14ac:dyDescent="0.35">
      <c r="A91" s="766" t="s">
        <v>1990</v>
      </c>
      <c r="B91" s="760" t="s">
        <v>2418</v>
      </c>
      <c r="C91" s="761" t="s">
        <v>239</v>
      </c>
      <c r="D91" s="763">
        <v>2488.4026864099997</v>
      </c>
      <c r="E91" s="763">
        <v>24.915660859999996</v>
      </c>
      <c r="F91" s="762">
        <v>3.9449202999999997</v>
      </c>
      <c r="G91" s="606">
        <v>99873.03300000001</v>
      </c>
      <c r="H91" s="770" t="str">
        <f>B91</f>
        <v>AFR</v>
      </c>
      <c r="I91" s="769"/>
      <c r="J91" s="769"/>
      <c r="K91" s="769" t="str">
        <f t="shared" si="3"/>
        <v/>
      </c>
      <c r="L91" s="769"/>
      <c r="M91" s="769"/>
      <c r="N91" s="789" t="s">
        <v>2441</v>
      </c>
      <c r="O91" s="767">
        <f>VLOOKUP(H91,$B$2:$C$10,2,0)</f>
        <v>0.78686047711281404</v>
      </c>
      <c r="P91" s="739">
        <f t="shared" si="7"/>
        <v>1.9580257250773805</v>
      </c>
      <c r="Q91" s="1050">
        <f t="shared" si="6"/>
        <v>0</v>
      </c>
    </row>
    <row r="92" spans="1:17" ht="15.5" x14ac:dyDescent="0.35">
      <c r="A92" s="759" t="s">
        <v>1993</v>
      </c>
      <c r="B92" s="760" t="s">
        <v>2433</v>
      </c>
      <c r="C92" s="761" t="s">
        <v>2444</v>
      </c>
      <c r="D92" s="762">
        <v>155.6766614</v>
      </c>
      <c r="E92" s="762">
        <v>174.4962616</v>
      </c>
      <c r="F92" s="763">
        <v>3.5688633899999997</v>
      </c>
      <c r="G92" s="606">
        <v>892.149</v>
      </c>
      <c r="H92" s="770" t="str">
        <f>B92</f>
        <v>WPR</v>
      </c>
      <c r="I92" s="769"/>
      <c r="J92" s="769"/>
      <c r="K92" s="769" t="str">
        <f t="shared" si="3"/>
        <v/>
      </c>
      <c r="L92" s="769"/>
      <c r="M92" s="769"/>
      <c r="N92" s="789" t="s">
        <v>2441</v>
      </c>
      <c r="O92" s="767">
        <f>VLOOKUP(H92,$B$2:$C$10,2,0)</f>
        <v>1.2084262985360623</v>
      </c>
      <c r="P92" s="739">
        <f t="shared" si="7"/>
        <v>0.18812377170405389</v>
      </c>
      <c r="Q92" s="1050">
        <f t="shared" si="6"/>
        <v>0</v>
      </c>
    </row>
    <row r="93" spans="1:17" ht="15.5" x14ac:dyDescent="0.35">
      <c r="A93" s="766" t="s">
        <v>1994</v>
      </c>
      <c r="B93" s="768" t="s">
        <v>2429</v>
      </c>
      <c r="C93" s="761" t="s">
        <v>2446</v>
      </c>
      <c r="D93" s="763">
        <v>22595.903772930003</v>
      </c>
      <c r="E93" s="763">
        <v>4121.9018554699996</v>
      </c>
      <c r="F93" s="762">
        <v>9.7041225400000002</v>
      </c>
      <c r="G93" s="606">
        <v>5481.9659999999994</v>
      </c>
      <c r="H93" s="606" t="s">
        <v>2431</v>
      </c>
      <c r="I93" s="769">
        <v>5.0999999999999996</v>
      </c>
      <c r="J93" s="769">
        <v>30.51</v>
      </c>
      <c r="K93" s="769">
        <f t="shared" si="3"/>
        <v>0.16715830875122908</v>
      </c>
      <c r="L93" s="769"/>
      <c r="M93" s="769"/>
      <c r="N93" s="789">
        <f>K93</f>
        <v>0.16715830875122908</v>
      </c>
      <c r="O93" s="767">
        <f>(I93/D93)*1000</f>
        <v>0.22570462554853962</v>
      </c>
      <c r="P93" s="739">
        <f t="shared" si="7"/>
        <v>5.0999999999999996</v>
      </c>
      <c r="Q93" s="1050">
        <f t="shared" si="6"/>
        <v>1</v>
      </c>
    </row>
    <row r="94" spans="1:17" ht="15.5" x14ac:dyDescent="0.35">
      <c r="A94" s="759" t="s">
        <v>1995</v>
      </c>
      <c r="B94" s="760" t="s">
        <v>2429</v>
      </c>
      <c r="C94" s="761" t="s">
        <v>2446</v>
      </c>
      <c r="D94" s="762">
        <v>279396.0909834</v>
      </c>
      <c r="E94" s="762">
        <v>4204.0903320300004</v>
      </c>
      <c r="F94" s="763">
        <v>11.459075929999999</v>
      </c>
      <c r="G94" s="606">
        <v>66458.153000000006</v>
      </c>
      <c r="H94" s="606" t="s">
        <v>2439</v>
      </c>
      <c r="I94" s="769">
        <v>24.84</v>
      </c>
      <c r="J94" s="769">
        <v>273.60000000000002</v>
      </c>
      <c r="K94" s="769">
        <f t="shared" si="3"/>
        <v>9.0789473684210517E-2</v>
      </c>
      <c r="L94" s="769"/>
      <c r="M94" s="769"/>
      <c r="N94" s="789">
        <f>K94</f>
        <v>9.0789473684210517E-2</v>
      </c>
      <c r="O94" s="767">
        <f>(I94/D94)*1000</f>
        <v>8.8906039853921356E-2</v>
      </c>
      <c r="P94" s="739">
        <f t="shared" si="7"/>
        <v>24.84</v>
      </c>
      <c r="Q94" s="1050">
        <f t="shared" si="6"/>
        <v>1</v>
      </c>
    </row>
    <row r="95" spans="1:17" ht="15.5" x14ac:dyDescent="0.35">
      <c r="A95" s="759" t="s">
        <v>1998</v>
      </c>
      <c r="B95" s="768" t="s">
        <v>2418</v>
      </c>
      <c r="C95" s="761" t="s">
        <v>2444</v>
      </c>
      <c r="D95" s="762">
        <v>382.06793016999995</v>
      </c>
      <c r="E95" s="762">
        <v>197.94471740999998</v>
      </c>
      <c r="F95" s="763">
        <v>2.6574377999999994</v>
      </c>
      <c r="G95" s="606">
        <v>1930.175</v>
      </c>
      <c r="H95" s="770" t="str">
        <f>B95</f>
        <v>AFR</v>
      </c>
      <c r="I95" s="769"/>
      <c r="J95" s="769"/>
      <c r="K95" s="769" t="str">
        <f t="shared" ref="K95:K158" si="16">IFERROR((I95/J95),"")</f>
        <v/>
      </c>
      <c r="L95" s="769"/>
      <c r="M95" s="769"/>
      <c r="N95" s="789" t="s">
        <v>2441</v>
      </c>
      <c r="O95" s="767">
        <f>VLOOKUP(H95,$B$2:$C$10,2,0)</f>
        <v>0.78686047711281404</v>
      </c>
      <c r="P95" s="739">
        <f t="shared" si="7"/>
        <v>0.30063415382307146</v>
      </c>
      <c r="Q95" s="1050">
        <f t="shared" si="6"/>
        <v>0</v>
      </c>
    </row>
    <row r="96" spans="1:17" ht="15.5" x14ac:dyDescent="0.35">
      <c r="A96" s="766" t="s">
        <v>1999</v>
      </c>
      <c r="B96" s="760" t="s">
        <v>2418</v>
      </c>
      <c r="C96" s="761" t="s">
        <v>239</v>
      </c>
      <c r="D96" s="763">
        <v>43.217922369999997</v>
      </c>
      <c r="E96" s="763">
        <v>21.853834150000004</v>
      </c>
      <c r="F96" s="762">
        <v>3.0999493600000005</v>
      </c>
      <c r="G96" s="606">
        <v>1977.5900000000001</v>
      </c>
      <c r="H96" s="770" t="str">
        <f>B96</f>
        <v>AFR</v>
      </c>
      <c r="I96" s="769"/>
      <c r="J96" s="769"/>
      <c r="K96" s="769" t="str">
        <f t="shared" si="16"/>
        <v/>
      </c>
      <c r="L96" s="769"/>
      <c r="M96" s="769"/>
      <c r="N96" s="789" t="s">
        <v>2441</v>
      </c>
      <c r="O96" s="767">
        <f>VLOOKUP(H96,$B$2:$C$10,2,0)</f>
        <v>0.78686047711281404</v>
      </c>
      <c r="P96" s="739">
        <f t="shared" si="7"/>
        <v>3.4006475015882755E-2</v>
      </c>
      <c r="Q96" s="1050">
        <f t="shared" ref="Q96:Q159" si="17">IF(N96="None avaliable",0,1)</f>
        <v>0</v>
      </c>
    </row>
    <row r="97" spans="1:17" ht="15.5" x14ac:dyDescent="0.35">
      <c r="A97" s="766" t="s">
        <v>2000</v>
      </c>
      <c r="B97" s="768" t="s">
        <v>2429</v>
      </c>
      <c r="C97" s="761" t="s">
        <v>2442</v>
      </c>
      <c r="D97" s="763">
        <v>1110.0339311700004</v>
      </c>
      <c r="E97" s="763">
        <v>280.91287231000001</v>
      </c>
      <c r="F97" s="762">
        <v>7.9323587400000006</v>
      </c>
      <c r="G97" s="606">
        <v>3951.5240000000003</v>
      </c>
      <c r="H97" s="606" t="s">
        <v>2437</v>
      </c>
      <c r="I97" s="769">
        <v>0.82</v>
      </c>
      <c r="J97" s="769">
        <v>1.02</v>
      </c>
      <c r="K97" s="769">
        <f t="shared" si="16"/>
        <v>0.8039215686274509</v>
      </c>
      <c r="L97" s="769"/>
      <c r="M97" s="769"/>
      <c r="N97" s="789">
        <f>K97</f>
        <v>0.8039215686274509</v>
      </c>
      <c r="O97" s="767">
        <f>(I97/D97)*1000</f>
        <v>0.73871615720404304</v>
      </c>
      <c r="P97" s="739">
        <f t="shared" ref="P97:P160" si="18">(O97*D97)/1000</f>
        <v>0.81999999999999984</v>
      </c>
      <c r="Q97" s="1050">
        <f t="shared" si="17"/>
        <v>1</v>
      </c>
    </row>
    <row r="98" spans="1:17" ht="15.5" x14ac:dyDescent="0.35">
      <c r="A98" s="759" t="s">
        <v>2001</v>
      </c>
      <c r="B98" s="760" t="s">
        <v>2429</v>
      </c>
      <c r="C98" s="761" t="s">
        <v>2446</v>
      </c>
      <c r="D98" s="762">
        <v>374928.88109585003</v>
      </c>
      <c r="E98" s="762">
        <v>4617.4907226599998</v>
      </c>
      <c r="F98" s="763">
        <v>11.088012700000002</v>
      </c>
      <c r="G98" s="606">
        <v>81197.536999999997</v>
      </c>
      <c r="H98" s="606" t="s">
        <v>2431</v>
      </c>
      <c r="I98" s="769">
        <v>64.010000000000005</v>
      </c>
      <c r="J98" s="769">
        <v>404.27</v>
      </c>
      <c r="K98" s="769">
        <f t="shared" si="16"/>
        <v>0.15833477626338835</v>
      </c>
      <c r="L98" s="769"/>
      <c r="M98" s="769"/>
      <c r="N98" s="789">
        <f>K98</f>
        <v>0.15833477626338835</v>
      </c>
      <c r="O98" s="767">
        <f>(I98/D98)*1000</f>
        <v>0.17072571153470556</v>
      </c>
      <c r="P98" s="739">
        <f t="shared" si="18"/>
        <v>64.010000000000019</v>
      </c>
      <c r="Q98" s="1050">
        <f t="shared" si="17"/>
        <v>1</v>
      </c>
    </row>
    <row r="99" spans="1:17" ht="15.5" x14ac:dyDescent="0.35">
      <c r="A99" s="759" t="s">
        <v>2002</v>
      </c>
      <c r="B99" s="768" t="s">
        <v>2418</v>
      </c>
      <c r="C99" s="761" t="s">
        <v>2442</v>
      </c>
      <c r="D99" s="762">
        <v>2273.0289658699994</v>
      </c>
      <c r="E99" s="762">
        <v>82.407417299999992</v>
      </c>
      <c r="F99" s="763">
        <v>4.6217145899999998</v>
      </c>
      <c r="G99" s="606">
        <v>27582.821000000004</v>
      </c>
      <c r="H99" s="770" t="str">
        <f>B99</f>
        <v>AFR</v>
      </c>
      <c r="I99" s="769"/>
      <c r="J99" s="769"/>
      <c r="K99" s="769" t="str">
        <f t="shared" si="16"/>
        <v/>
      </c>
      <c r="L99" s="769"/>
      <c r="M99" s="769"/>
      <c r="N99" s="789" t="s">
        <v>2441</v>
      </c>
      <c r="O99" s="767">
        <f>VLOOKUP(H99,$B$2:$C$10,2,0)</f>
        <v>0.78686047711281404</v>
      </c>
      <c r="P99" s="739">
        <f t="shared" si="18"/>
        <v>1.7885566565757141</v>
      </c>
      <c r="Q99" s="1050">
        <f t="shared" si="17"/>
        <v>0</v>
      </c>
    </row>
    <row r="100" spans="1:17" ht="15.5" x14ac:dyDescent="0.35">
      <c r="A100" s="766" t="s">
        <v>2004</v>
      </c>
      <c r="B100" s="768" t="s">
        <v>2429</v>
      </c>
      <c r="C100" s="761" t="s">
        <v>2446</v>
      </c>
      <c r="D100" s="763">
        <v>15903.62764637</v>
      </c>
      <c r="E100" s="763">
        <v>1464.72558594</v>
      </c>
      <c r="F100" s="762">
        <v>8.0898866700000003</v>
      </c>
      <c r="G100" s="606">
        <v>10858.018</v>
      </c>
      <c r="H100" s="606" t="s">
        <v>2439</v>
      </c>
      <c r="I100" s="769">
        <v>4</v>
      </c>
      <c r="J100" s="769">
        <v>13.97</v>
      </c>
      <c r="K100" s="769">
        <f t="shared" si="16"/>
        <v>0.28632784538296346</v>
      </c>
      <c r="L100" s="769"/>
      <c r="M100" s="769"/>
      <c r="N100" s="789">
        <f>K100</f>
        <v>0.28632784538296346</v>
      </c>
      <c r="O100" s="767">
        <f>(I100/D100)*1000</f>
        <v>0.25151494293900922</v>
      </c>
      <c r="P100" s="739">
        <f t="shared" si="18"/>
        <v>4</v>
      </c>
      <c r="Q100" s="1050">
        <f t="shared" si="17"/>
        <v>1</v>
      </c>
    </row>
    <row r="101" spans="1:17" ht="15.5" x14ac:dyDescent="0.35">
      <c r="A101" s="766" t="s">
        <v>2005</v>
      </c>
      <c r="B101" s="768" t="s">
        <v>2429</v>
      </c>
      <c r="C101" s="761"/>
      <c r="D101" s="763"/>
      <c r="E101" s="763"/>
      <c r="F101" s="762"/>
      <c r="G101" s="606"/>
      <c r="H101" s="770" t="str">
        <f>B101</f>
        <v>EUR</v>
      </c>
      <c r="I101" s="769">
        <v>3.67</v>
      </c>
      <c r="J101" s="769"/>
      <c r="K101" s="769" t="str">
        <f t="shared" si="16"/>
        <v/>
      </c>
      <c r="L101" s="769"/>
      <c r="M101" s="769"/>
      <c r="N101" s="789" t="s">
        <v>2441</v>
      </c>
      <c r="O101" s="767">
        <f t="shared" ref="O101:O108" si="19">VLOOKUP(H101,$B$2:$C$10,2,0)</f>
        <v>1.3809400770844993</v>
      </c>
      <c r="P101" s="739">
        <f t="shared" si="18"/>
        <v>0</v>
      </c>
      <c r="Q101" s="1050">
        <f t="shared" si="17"/>
        <v>0</v>
      </c>
    </row>
    <row r="102" spans="1:17" ht="15.5" x14ac:dyDescent="0.35">
      <c r="A102" s="766" t="s">
        <v>2006</v>
      </c>
      <c r="B102" s="768" t="s">
        <v>2424</v>
      </c>
      <c r="C102" s="761" t="s">
        <v>2444</v>
      </c>
      <c r="D102" s="763">
        <v>47.033543959999996</v>
      </c>
      <c r="E102" s="763">
        <v>440.29415893999993</v>
      </c>
      <c r="F102" s="762">
        <v>4.7173318899999988</v>
      </c>
      <c r="G102" s="606">
        <v>106.82300000000001</v>
      </c>
      <c r="H102" s="770" t="str">
        <f t="shared" ref="H102:H108" si="20">B102</f>
        <v>AMR</v>
      </c>
      <c r="I102" s="769"/>
      <c r="J102" s="769"/>
      <c r="K102" s="769" t="str">
        <f t="shared" si="16"/>
        <v/>
      </c>
      <c r="L102" s="769"/>
      <c r="M102" s="769"/>
      <c r="N102" s="789" t="s">
        <v>2441</v>
      </c>
      <c r="O102" s="767">
        <f t="shared" si="19"/>
        <v>1.7429565890762324</v>
      </c>
      <c r="P102" s="739">
        <f t="shared" si="18"/>
        <v>8.1977425352688621E-2</v>
      </c>
      <c r="Q102" s="1050">
        <f t="shared" si="17"/>
        <v>0</v>
      </c>
    </row>
    <row r="103" spans="1:17" ht="15.5" x14ac:dyDescent="0.35">
      <c r="A103" s="759" t="s">
        <v>2009</v>
      </c>
      <c r="B103" s="760" t="s">
        <v>2424</v>
      </c>
      <c r="C103" s="761" t="s">
        <v>2444</v>
      </c>
      <c r="D103" s="762">
        <v>3800.8462840599996</v>
      </c>
      <c r="E103" s="762">
        <v>233.86328125</v>
      </c>
      <c r="F103" s="763">
        <v>5.9604806899999989</v>
      </c>
      <c r="G103" s="606">
        <v>16252.428999999998</v>
      </c>
      <c r="H103" s="770" t="str">
        <f t="shared" si="20"/>
        <v>AMR</v>
      </c>
      <c r="I103" s="769"/>
      <c r="J103" s="769"/>
      <c r="K103" s="769" t="str">
        <f t="shared" si="16"/>
        <v/>
      </c>
      <c r="L103" s="769"/>
      <c r="M103" s="769"/>
      <c r="N103" s="789" t="s">
        <v>2441</v>
      </c>
      <c r="O103" s="767">
        <f t="shared" si="19"/>
        <v>1.7429565890762324</v>
      </c>
      <c r="P103" s="739">
        <f t="shared" si="18"/>
        <v>6.6247100748682897</v>
      </c>
      <c r="Q103" s="1050">
        <f t="shared" si="17"/>
        <v>0</v>
      </c>
    </row>
    <row r="104" spans="1:17" ht="15.5" x14ac:dyDescent="0.35">
      <c r="A104" s="766" t="s">
        <v>2010</v>
      </c>
      <c r="B104" s="760" t="s">
        <v>2418</v>
      </c>
      <c r="C104" s="761" t="s">
        <v>239</v>
      </c>
      <c r="D104" s="763">
        <v>510.87215596000004</v>
      </c>
      <c r="E104" s="763">
        <v>42.250404360000005</v>
      </c>
      <c r="F104" s="762">
        <v>5.8092060100000005</v>
      </c>
      <c r="G104" s="606">
        <v>12091.532999999999</v>
      </c>
      <c r="H104" s="770" t="str">
        <f t="shared" si="20"/>
        <v>AFR</v>
      </c>
      <c r="I104" s="769"/>
      <c r="J104" s="769"/>
      <c r="K104" s="769" t="str">
        <f t="shared" si="16"/>
        <v/>
      </c>
      <c r="L104" s="769"/>
      <c r="M104" s="769"/>
      <c r="N104" s="789" t="s">
        <v>2441</v>
      </c>
      <c r="O104" s="767">
        <f t="shared" si="19"/>
        <v>0.78686047711281404</v>
      </c>
      <c r="P104" s="739">
        <f t="shared" si="18"/>
        <v>0.40198510838233753</v>
      </c>
      <c r="Q104" s="1050">
        <f t="shared" si="17"/>
        <v>0</v>
      </c>
    </row>
    <row r="105" spans="1:17" ht="15.5" x14ac:dyDescent="0.35">
      <c r="A105" s="759" t="s">
        <v>2011</v>
      </c>
      <c r="B105" s="768" t="s">
        <v>2418</v>
      </c>
      <c r="C105" s="761" t="s">
        <v>239</v>
      </c>
      <c r="D105" s="762">
        <v>90.018855930000001</v>
      </c>
      <c r="E105" s="762">
        <v>50.842998500000007</v>
      </c>
      <c r="F105" s="763">
        <v>8.5911531399999994</v>
      </c>
      <c r="G105" s="606">
        <v>1770.5260000000003</v>
      </c>
      <c r="H105" s="770" t="str">
        <f t="shared" si="20"/>
        <v>AFR</v>
      </c>
      <c r="I105" s="769"/>
      <c r="J105" s="769"/>
      <c r="K105" s="769" t="str">
        <f t="shared" si="16"/>
        <v/>
      </c>
      <c r="L105" s="769"/>
      <c r="M105" s="769"/>
      <c r="N105" s="789" t="s">
        <v>2441</v>
      </c>
      <c r="O105" s="767">
        <f t="shared" si="19"/>
        <v>0.78686047711281404</v>
      </c>
      <c r="P105" s="739">
        <f t="shared" si="18"/>
        <v>7.083227992622948E-2</v>
      </c>
      <c r="Q105" s="1050">
        <f t="shared" si="17"/>
        <v>0</v>
      </c>
    </row>
    <row r="106" spans="1:17" ht="15.5" x14ac:dyDescent="0.35">
      <c r="A106" s="766" t="s">
        <v>2012</v>
      </c>
      <c r="B106" s="768" t="s">
        <v>2424</v>
      </c>
      <c r="C106" s="761" t="s">
        <v>2444</v>
      </c>
      <c r="D106" s="763">
        <v>144.45320957999996</v>
      </c>
      <c r="E106" s="763">
        <v>187.96432494999996</v>
      </c>
      <c r="F106" s="762">
        <v>4.5180807100000004</v>
      </c>
      <c r="G106" s="606">
        <v>768.5139999999999</v>
      </c>
      <c r="H106" s="770" t="str">
        <f t="shared" si="20"/>
        <v>AMR</v>
      </c>
      <c r="I106" s="769"/>
      <c r="J106" s="769"/>
      <c r="K106" s="769" t="str">
        <f t="shared" si="16"/>
        <v/>
      </c>
      <c r="L106" s="769"/>
      <c r="M106" s="769"/>
      <c r="N106" s="789" t="s">
        <v>2441</v>
      </c>
      <c r="O106" s="767">
        <f t="shared" si="19"/>
        <v>1.7429565890762324</v>
      </c>
      <c r="P106" s="739">
        <f t="shared" si="18"/>
        <v>0.25177567345067087</v>
      </c>
      <c r="Q106" s="1050">
        <f t="shared" si="17"/>
        <v>0</v>
      </c>
    </row>
    <row r="107" spans="1:17" ht="15.5" x14ac:dyDescent="0.35">
      <c r="A107" s="759" t="s">
        <v>2013</v>
      </c>
      <c r="B107" s="760" t="s">
        <v>2424</v>
      </c>
      <c r="C107" s="761" t="s">
        <v>239</v>
      </c>
      <c r="D107" s="762">
        <v>720.89969325000004</v>
      </c>
      <c r="E107" s="762">
        <v>67.304222109999998</v>
      </c>
      <c r="F107" s="763">
        <v>8.6285295499999997</v>
      </c>
      <c r="G107" s="606">
        <v>10711.061000000002</v>
      </c>
      <c r="H107" s="770" t="str">
        <f t="shared" si="20"/>
        <v>AMR</v>
      </c>
      <c r="I107" s="769"/>
      <c r="J107" s="769"/>
      <c r="K107" s="769" t="str">
        <f t="shared" si="16"/>
        <v/>
      </c>
      <c r="L107" s="769"/>
      <c r="M107" s="769"/>
      <c r="N107" s="789" t="s">
        <v>2441</v>
      </c>
      <c r="O107" s="767">
        <f t="shared" si="19"/>
        <v>1.7429565890762324</v>
      </c>
      <c r="P107" s="739">
        <f t="shared" si="18"/>
        <v>1.2564968704131223</v>
      </c>
      <c r="Q107" s="1050">
        <f t="shared" si="17"/>
        <v>0</v>
      </c>
    </row>
    <row r="108" spans="1:17" ht="15.5" x14ac:dyDescent="0.35">
      <c r="A108" s="766" t="s">
        <v>2014</v>
      </c>
      <c r="B108" s="768" t="s">
        <v>2424</v>
      </c>
      <c r="C108" s="761" t="s">
        <v>2442</v>
      </c>
      <c r="D108" s="763">
        <v>1618.3739705899998</v>
      </c>
      <c r="E108" s="763">
        <v>180.60539246000002</v>
      </c>
      <c r="F108" s="762">
        <v>7.7139692300000009</v>
      </c>
      <c r="G108" s="606">
        <v>8960.8290000000015</v>
      </c>
      <c r="H108" s="770" t="str">
        <f t="shared" si="20"/>
        <v>AMR</v>
      </c>
      <c r="I108" s="769"/>
      <c r="J108" s="769"/>
      <c r="K108" s="769" t="str">
        <f t="shared" si="16"/>
        <v/>
      </c>
      <c r="L108" s="769"/>
      <c r="M108" s="769"/>
      <c r="N108" s="789" t="s">
        <v>2441</v>
      </c>
      <c r="O108" s="767">
        <f t="shared" si="19"/>
        <v>1.7429565890762324</v>
      </c>
      <c r="P108" s="739">
        <f t="shared" si="18"/>
        <v>2.8207555756293048</v>
      </c>
      <c r="Q108" s="1050">
        <f t="shared" si="17"/>
        <v>0</v>
      </c>
    </row>
    <row r="109" spans="1:17" ht="15.5" x14ac:dyDescent="0.35">
      <c r="A109" s="759" t="s">
        <v>2016</v>
      </c>
      <c r="B109" s="760" t="s">
        <v>2429</v>
      </c>
      <c r="C109" s="761" t="s">
        <v>2446</v>
      </c>
      <c r="D109" s="762">
        <v>8579.4635425500019</v>
      </c>
      <c r="E109" s="762">
        <v>870.51922607000017</v>
      </c>
      <c r="F109" s="763">
        <v>6.9709749199999989</v>
      </c>
      <c r="G109" s="606">
        <v>9855.5709999999999</v>
      </c>
      <c r="H109" s="606" t="s">
        <v>2439</v>
      </c>
      <c r="I109" s="769">
        <v>2.93</v>
      </c>
      <c r="J109" s="769">
        <v>8.85</v>
      </c>
      <c r="K109" s="769">
        <f t="shared" si="16"/>
        <v>0.33107344632768365</v>
      </c>
      <c r="L109" s="769"/>
      <c r="M109" s="769"/>
      <c r="N109" s="789">
        <f>K109</f>
        <v>0.33107344632768365</v>
      </c>
      <c r="O109" s="767">
        <f>(I109/D109)*1000</f>
        <v>0.34151319432370253</v>
      </c>
      <c r="P109" s="739">
        <f t="shared" si="18"/>
        <v>2.93</v>
      </c>
      <c r="Q109" s="1050">
        <f t="shared" si="17"/>
        <v>1</v>
      </c>
    </row>
    <row r="110" spans="1:17" ht="15.5" x14ac:dyDescent="0.35">
      <c r="A110" s="766" t="s">
        <v>2017</v>
      </c>
      <c r="B110" s="768" t="s">
        <v>2429</v>
      </c>
      <c r="C110" s="761" t="s">
        <v>2446</v>
      </c>
      <c r="D110" s="763">
        <v>1413.96035029</v>
      </c>
      <c r="E110" s="763">
        <v>4281.5756835900002</v>
      </c>
      <c r="F110" s="762">
        <v>8.1523685499999985</v>
      </c>
      <c r="G110" s="606">
        <v>330.24300000000005</v>
      </c>
      <c r="H110" s="770" t="str">
        <f>B110</f>
        <v>EUR</v>
      </c>
      <c r="I110" s="769"/>
      <c r="J110" s="769"/>
      <c r="K110" s="769" t="str">
        <f t="shared" si="16"/>
        <v/>
      </c>
      <c r="L110" s="769"/>
      <c r="M110" s="769"/>
      <c r="N110" s="789" t="s">
        <v>2441</v>
      </c>
      <c r="O110" s="767">
        <f>VLOOKUP(H110,$B$2:$C$10,2,0)</f>
        <v>1.3809400770844993</v>
      </c>
      <c r="P110" s="739">
        <f t="shared" si="18"/>
        <v>1.9525945151238981</v>
      </c>
      <c r="Q110" s="1050">
        <f t="shared" si="17"/>
        <v>0</v>
      </c>
    </row>
    <row r="111" spans="1:17" ht="15.5" x14ac:dyDescent="0.35">
      <c r="A111" s="766" t="s">
        <v>1776</v>
      </c>
      <c r="B111" s="768" t="s">
        <v>2427</v>
      </c>
      <c r="C111" s="761" t="s">
        <v>2442</v>
      </c>
      <c r="D111" s="763">
        <v>77190.116394800003</v>
      </c>
      <c r="E111" s="763">
        <v>58.96633529999999</v>
      </c>
      <c r="F111" s="762">
        <v>3.5956599700000007</v>
      </c>
      <c r="G111" s="606">
        <v>1309053.98</v>
      </c>
      <c r="H111" s="770" t="str">
        <f>B111</f>
        <v>SEAR</v>
      </c>
      <c r="I111" s="772">
        <v>288.58999999999997</v>
      </c>
      <c r="J111" s="1435">
        <v>73.33</v>
      </c>
      <c r="K111" s="769">
        <f t="shared" si="16"/>
        <v>3.9354970680485475</v>
      </c>
      <c r="L111" s="773">
        <v>74.099999999999994</v>
      </c>
      <c r="M111" s="772"/>
      <c r="N111" s="789">
        <f>K111</f>
        <v>3.9354970680485475</v>
      </c>
      <c r="O111" s="765">
        <f>(L111/D111)*1000</f>
        <v>0.95996746035470193</v>
      </c>
      <c r="P111" s="739">
        <f t="shared" si="18"/>
        <v>74.099999999999994</v>
      </c>
      <c r="Q111" s="1050">
        <f t="shared" si="17"/>
        <v>1</v>
      </c>
    </row>
    <row r="112" spans="1:17" ht="15.5" x14ac:dyDescent="0.35">
      <c r="A112" s="759" t="s">
        <v>2018</v>
      </c>
      <c r="B112" s="760" t="s">
        <v>2427</v>
      </c>
      <c r="C112" s="761" t="s">
        <v>2442</v>
      </c>
      <c r="D112" s="762">
        <v>25927.40165054</v>
      </c>
      <c r="E112" s="762">
        <v>100.43070221000001</v>
      </c>
      <c r="F112" s="763">
        <v>3.0118224599999999</v>
      </c>
      <c r="G112" s="606">
        <v>258162.11299999998</v>
      </c>
      <c r="H112" s="770" t="str">
        <f>B112</f>
        <v>SEAR</v>
      </c>
      <c r="I112" s="769">
        <v>14.29</v>
      </c>
      <c r="J112" s="769">
        <v>18.5</v>
      </c>
      <c r="K112" s="769">
        <f t="shared" si="16"/>
        <v>0.77243243243243243</v>
      </c>
      <c r="L112" s="769"/>
      <c r="M112" s="769"/>
      <c r="N112" s="789">
        <f>K112</f>
        <v>0.77243243243243243</v>
      </c>
      <c r="O112" s="767">
        <f>(I112/D112)*1000</f>
        <v>0.55115434213603032</v>
      </c>
      <c r="P112" s="739">
        <f t="shared" si="18"/>
        <v>14.29</v>
      </c>
      <c r="Q112" s="1050">
        <f t="shared" si="17"/>
        <v>1</v>
      </c>
    </row>
    <row r="113" spans="1:17" ht="15.5" x14ac:dyDescent="0.35">
      <c r="A113" s="759" t="s">
        <v>2019</v>
      </c>
      <c r="B113" s="760" t="s">
        <v>2435</v>
      </c>
      <c r="C113" s="761" t="s">
        <v>2444</v>
      </c>
      <c r="D113" s="762">
        <v>29770.183643200005</v>
      </c>
      <c r="E113" s="762">
        <v>375.12600708000002</v>
      </c>
      <c r="F113" s="763">
        <v>7.7605791100000001</v>
      </c>
      <c r="G113" s="606">
        <v>79360.486999999994</v>
      </c>
      <c r="H113" s="770" t="str">
        <f>B113</f>
        <v>EMR</v>
      </c>
      <c r="I113" s="769">
        <v>39.31</v>
      </c>
      <c r="J113" s="769">
        <v>18.920000000000002</v>
      </c>
      <c r="K113" s="769">
        <f t="shared" si="16"/>
        <v>2.0776955602536997</v>
      </c>
      <c r="L113" s="769"/>
      <c r="M113" s="769"/>
      <c r="N113" s="789">
        <f>K113</f>
        <v>2.0776955602536997</v>
      </c>
      <c r="O113" s="767">
        <f>(I113/D113)*1000</f>
        <v>1.3204486902444434</v>
      </c>
      <c r="P113" s="739">
        <f t="shared" si="18"/>
        <v>39.31</v>
      </c>
      <c r="Q113" s="1050">
        <f t="shared" si="17"/>
        <v>1</v>
      </c>
    </row>
    <row r="114" spans="1:17" ht="15.5" x14ac:dyDescent="0.35">
      <c r="A114" s="766" t="s">
        <v>2020</v>
      </c>
      <c r="B114" s="768" t="s">
        <v>2435</v>
      </c>
      <c r="C114" s="761" t="s">
        <v>2444</v>
      </c>
      <c r="D114" s="763">
        <v>5579.0551113800011</v>
      </c>
      <c r="E114" s="763">
        <v>154.47749329000004</v>
      </c>
      <c r="F114" s="762">
        <v>3.1427907900000003</v>
      </c>
      <c r="G114" s="606">
        <v>36115.648999999998</v>
      </c>
      <c r="H114" s="770" t="str">
        <f>B114</f>
        <v>EMR</v>
      </c>
      <c r="I114" s="769"/>
      <c r="J114" s="769"/>
      <c r="K114" s="769" t="str">
        <f t="shared" si="16"/>
        <v/>
      </c>
      <c r="L114" s="769"/>
      <c r="M114" s="769"/>
      <c r="N114" s="789" t="s">
        <v>2441</v>
      </c>
      <c r="O114" s="767">
        <f>VLOOKUP(H114,$B$2:$C$10,2,0)</f>
        <v>2.0793883206673902</v>
      </c>
      <c r="P114" s="739">
        <f t="shared" si="18"/>
        <v>11.601022038963279</v>
      </c>
      <c r="Q114" s="1050">
        <f t="shared" si="17"/>
        <v>0</v>
      </c>
    </row>
    <row r="115" spans="1:17" ht="15.5" x14ac:dyDescent="0.35">
      <c r="A115" s="759" t="s">
        <v>2021</v>
      </c>
      <c r="B115" s="760" t="s">
        <v>2429</v>
      </c>
      <c r="C115" s="761" t="s">
        <v>2446</v>
      </c>
      <c r="D115" s="762">
        <v>21353.283225700005</v>
      </c>
      <c r="E115" s="762">
        <v>4565.12890625</v>
      </c>
      <c r="F115" s="763">
        <v>7.3358030299999992</v>
      </c>
      <c r="G115" s="606">
        <v>4677.6270000000004</v>
      </c>
      <c r="H115" s="606" t="s">
        <v>2439</v>
      </c>
      <c r="I115" s="769">
        <v>3.91</v>
      </c>
      <c r="J115" s="769">
        <v>21.18</v>
      </c>
      <c r="K115" s="769">
        <f t="shared" si="16"/>
        <v>0.18460812086874412</v>
      </c>
      <c r="L115" s="769"/>
      <c r="M115" s="769"/>
      <c r="N115" s="789">
        <f>K115</f>
        <v>0.18460812086874412</v>
      </c>
      <c r="O115" s="767">
        <f>(I115/D115)*1000</f>
        <v>0.18311001444939728</v>
      </c>
      <c r="P115" s="739">
        <f t="shared" si="18"/>
        <v>3.9100000000000006</v>
      </c>
      <c r="Q115" s="1050">
        <f t="shared" si="17"/>
        <v>1</v>
      </c>
    </row>
    <row r="116" spans="1:17" ht="15.5" x14ac:dyDescent="0.35">
      <c r="A116" s="766" t="s">
        <v>2023</v>
      </c>
      <c r="B116" s="768" t="s">
        <v>2429</v>
      </c>
      <c r="C116" s="761" t="s">
        <v>2446</v>
      </c>
      <c r="D116" s="763">
        <v>21292.913793830001</v>
      </c>
      <c r="E116" s="763">
        <v>2640.3112793</v>
      </c>
      <c r="F116" s="762">
        <v>7.0865163800000008</v>
      </c>
      <c r="G116" s="606">
        <v>8064.5470000000005</v>
      </c>
      <c r="H116" s="606" t="s">
        <v>2437</v>
      </c>
      <c r="I116" s="769">
        <v>6.65</v>
      </c>
      <c r="J116" s="769">
        <v>30.67</v>
      </c>
      <c r="K116" s="769">
        <f t="shared" si="16"/>
        <v>0.21682425823280077</v>
      </c>
      <c r="L116" s="769"/>
      <c r="M116" s="769"/>
      <c r="N116" s="789">
        <f>K116</f>
        <v>0.21682425823280077</v>
      </c>
      <c r="O116" s="767">
        <f>(I116/D116)*1000</f>
        <v>0.31231047400975975</v>
      </c>
      <c r="P116" s="739">
        <f t="shared" si="18"/>
        <v>6.6499999999999995</v>
      </c>
      <c r="Q116" s="1050">
        <f t="shared" si="17"/>
        <v>1</v>
      </c>
    </row>
    <row r="117" spans="1:17" ht="15.5" x14ac:dyDescent="0.35">
      <c r="A117" s="759" t="s">
        <v>2024</v>
      </c>
      <c r="B117" s="760" t="s">
        <v>2429</v>
      </c>
      <c r="C117" s="761" t="s">
        <v>2446</v>
      </c>
      <c r="D117" s="762">
        <v>164685.31895096001</v>
      </c>
      <c r="E117" s="762">
        <v>2708.8354492200006</v>
      </c>
      <c r="F117" s="763">
        <v>8.9880342500000019</v>
      </c>
      <c r="G117" s="606">
        <v>60795.612000000001</v>
      </c>
      <c r="H117" s="606" t="s">
        <v>2439</v>
      </c>
      <c r="I117" s="769">
        <v>18.57</v>
      </c>
      <c r="J117" s="769">
        <v>165.17</v>
      </c>
      <c r="K117" s="769">
        <f t="shared" si="16"/>
        <v>0.1124296179693649</v>
      </c>
      <c r="L117" s="769"/>
      <c r="M117" s="769"/>
      <c r="N117" s="789">
        <f>K117</f>
        <v>0.1124296179693649</v>
      </c>
      <c r="O117" s="767">
        <f>(I117/D117)*1000</f>
        <v>0.11276050663344056</v>
      </c>
      <c r="P117" s="739">
        <f t="shared" si="18"/>
        <v>18.57</v>
      </c>
      <c r="Q117" s="1050">
        <f t="shared" si="17"/>
        <v>1</v>
      </c>
    </row>
    <row r="118" spans="1:17" ht="15.5" x14ac:dyDescent="0.35">
      <c r="A118" s="759" t="s">
        <v>2025</v>
      </c>
      <c r="B118" s="760" t="s">
        <v>2424</v>
      </c>
      <c r="C118" s="761" t="s">
        <v>2444</v>
      </c>
      <c r="D118" s="762">
        <v>802.26739625000005</v>
      </c>
      <c r="E118" s="762">
        <v>279.34744263000005</v>
      </c>
      <c r="F118" s="763">
        <v>5.6550846100000003</v>
      </c>
      <c r="G118" s="606">
        <v>2871.9340000000002</v>
      </c>
      <c r="H118" s="770" t="str">
        <f>B118</f>
        <v>AMR</v>
      </c>
      <c r="I118" s="769"/>
      <c r="J118" s="769"/>
      <c r="K118" s="769" t="str">
        <f t="shared" si="16"/>
        <v/>
      </c>
      <c r="L118" s="769"/>
      <c r="M118" s="769"/>
      <c r="N118" s="789" t="s">
        <v>2441</v>
      </c>
      <c r="O118" s="767">
        <f>VLOOKUP(H118,$B$2:$C$10,2,0)</f>
        <v>1.7429565890762324</v>
      </c>
      <c r="P118" s="739">
        <f t="shared" si="18"/>
        <v>1.3983172444949703</v>
      </c>
      <c r="Q118" s="1050">
        <f t="shared" si="17"/>
        <v>0</v>
      </c>
    </row>
    <row r="119" spans="1:17" ht="15.5" x14ac:dyDescent="0.35">
      <c r="A119" s="766" t="s">
        <v>2026</v>
      </c>
      <c r="B119" s="768" t="s">
        <v>2433</v>
      </c>
      <c r="C119" s="761" t="s">
        <v>2446</v>
      </c>
      <c r="D119" s="763">
        <v>477816.67870068003</v>
      </c>
      <c r="E119" s="763">
        <v>3733.6733398400002</v>
      </c>
      <c r="F119" s="762">
        <v>10.88550663</v>
      </c>
      <c r="G119" s="606">
        <v>127974.95800000001</v>
      </c>
      <c r="H119" s="606" t="s">
        <v>2437</v>
      </c>
      <c r="I119" s="769">
        <v>190.52</v>
      </c>
      <c r="J119" s="769">
        <v>579.58000000000004</v>
      </c>
      <c r="K119" s="769">
        <f t="shared" si="16"/>
        <v>0.3287207978191104</v>
      </c>
      <c r="L119" s="769"/>
      <c r="M119" s="769"/>
      <c r="N119" s="789">
        <f>K119</f>
        <v>0.3287207978191104</v>
      </c>
      <c r="O119" s="767">
        <f>(I119/D119)*1000</f>
        <v>0.39873032586070095</v>
      </c>
      <c r="P119" s="739">
        <f t="shared" si="18"/>
        <v>190.52</v>
      </c>
      <c r="Q119" s="1050">
        <f t="shared" si="17"/>
        <v>1</v>
      </c>
    </row>
    <row r="120" spans="1:17" ht="15.5" x14ac:dyDescent="0.35">
      <c r="A120" s="759" t="s">
        <v>2027</v>
      </c>
      <c r="B120" s="760" t="s">
        <v>2435</v>
      </c>
      <c r="C120" s="761" t="s">
        <v>2444</v>
      </c>
      <c r="D120" s="762">
        <v>2878.9833423100004</v>
      </c>
      <c r="E120" s="762">
        <v>314.32345580999998</v>
      </c>
      <c r="F120" s="763">
        <v>7.5931577700000004</v>
      </c>
      <c r="G120" s="606">
        <v>9159.3019999999997</v>
      </c>
      <c r="H120" s="770" t="str">
        <f>B120</f>
        <v>EMR</v>
      </c>
      <c r="I120" s="769"/>
      <c r="J120" s="769"/>
      <c r="K120" s="769" t="str">
        <f t="shared" si="16"/>
        <v/>
      </c>
      <c r="L120" s="769"/>
      <c r="M120" s="769"/>
      <c r="N120" s="789" t="s">
        <v>2441</v>
      </c>
      <c r="O120" s="767">
        <f>VLOOKUP(H120,$B$2:$C$10,2,0)</f>
        <v>2.0793883206673902</v>
      </c>
      <c r="P120" s="739">
        <f t="shared" si="18"/>
        <v>5.986524337395382</v>
      </c>
      <c r="Q120" s="1050">
        <f t="shared" si="17"/>
        <v>0</v>
      </c>
    </row>
    <row r="121" spans="1:17" ht="15.5" x14ac:dyDescent="0.35">
      <c r="A121" s="766" t="s">
        <v>2028</v>
      </c>
      <c r="B121" s="768" t="s">
        <v>2429</v>
      </c>
      <c r="C121" s="761" t="s">
        <v>2444</v>
      </c>
      <c r="D121" s="763">
        <v>5616.0039110899997</v>
      </c>
      <c r="E121" s="763">
        <v>316.40084839000002</v>
      </c>
      <c r="F121" s="762">
        <v>3.0457467999999999</v>
      </c>
      <c r="G121" s="606">
        <v>17749.648000000001</v>
      </c>
      <c r="H121" s="770" t="str">
        <f t="shared" ref="H121:H126" si="21">B121</f>
        <v>EUR</v>
      </c>
      <c r="I121" s="769">
        <v>7.34</v>
      </c>
      <c r="J121" s="769">
        <v>5.54</v>
      </c>
      <c r="K121" s="769">
        <f t="shared" si="16"/>
        <v>1.3249097472924187</v>
      </c>
      <c r="L121" s="769"/>
      <c r="M121" s="769"/>
      <c r="N121" s="789">
        <f>K121</f>
        <v>1.3249097472924187</v>
      </c>
      <c r="O121" s="767">
        <f>(I121/D121)*1000</f>
        <v>1.306979146774738</v>
      </c>
      <c r="P121" s="739">
        <f t="shared" si="18"/>
        <v>7.34</v>
      </c>
      <c r="Q121" s="1050">
        <f t="shared" si="17"/>
        <v>1</v>
      </c>
    </row>
    <row r="122" spans="1:17" ht="15.5" x14ac:dyDescent="0.35">
      <c r="A122" s="766" t="s">
        <v>1758</v>
      </c>
      <c r="B122" s="760" t="s">
        <v>2418</v>
      </c>
      <c r="C122" s="761" t="s">
        <v>2442</v>
      </c>
      <c r="D122" s="763">
        <v>3340.8157384700003</v>
      </c>
      <c r="E122" s="763">
        <v>70.725669859999996</v>
      </c>
      <c r="F122" s="762">
        <v>5.2193856200000006</v>
      </c>
      <c r="G122" s="606">
        <v>47236.259000000005</v>
      </c>
      <c r="H122" s="770" t="str">
        <f t="shared" si="21"/>
        <v>AFR</v>
      </c>
      <c r="I122" s="772">
        <v>1.87</v>
      </c>
      <c r="J122" s="772">
        <v>4.1900000000000004</v>
      </c>
      <c r="K122" s="769">
        <f t="shared" si="16"/>
        <v>0.44630071599045346</v>
      </c>
      <c r="L122" s="772"/>
      <c r="M122" s="772"/>
      <c r="N122" s="789">
        <f>K122</f>
        <v>0.44630071599045346</v>
      </c>
      <c r="O122" s="765">
        <f>(I122/D122)*1000</f>
        <v>0.55974353163709878</v>
      </c>
      <c r="P122" s="739">
        <f t="shared" si="18"/>
        <v>1.8700000000000003</v>
      </c>
      <c r="Q122" s="1050">
        <f t="shared" si="17"/>
        <v>1</v>
      </c>
    </row>
    <row r="123" spans="1:17" ht="15.5" x14ac:dyDescent="0.35">
      <c r="A123" s="759" t="s">
        <v>2029</v>
      </c>
      <c r="B123" s="760" t="s">
        <v>2433</v>
      </c>
      <c r="C123" s="761" t="s">
        <v>2442</v>
      </c>
      <c r="D123" s="762">
        <v>13.682453680000004</v>
      </c>
      <c r="E123" s="762">
        <v>121.72565459999998</v>
      </c>
      <c r="F123" s="763">
        <v>7.9881854099999998</v>
      </c>
      <c r="G123" s="606">
        <v>112.40700000000001</v>
      </c>
      <c r="H123" s="770" t="str">
        <f t="shared" si="21"/>
        <v>WPR</v>
      </c>
      <c r="I123" s="772"/>
      <c r="J123" s="772"/>
      <c r="K123" s="769" t="str">
        <f t="shared" si="16"/>
        <v/>
      </c>
      <c r="L123" s="772"/>
      <c r="M123" s="772"/>
      <c r="N123" s="789" t="s">
        <v>2441</v>
      </c>
      <c r="O123" s="767">
        <f>VLOOKUP(H123,$B$2:$C$10,2,0)</f>
        <v>1.2084262985360623</v>
      </c>
      <c r="P123" s="739">
        <f t="shared" si="18"/>
        <v>1.6534236855413529E-2</v>
      </c>
      <c r="Q123" s="1050">
        <f t="shared" si="17"/>
        <v>0</v>
      </c>
    </row>
    <row r="124" spans="1:17" ht="15.5" x14ac:dyDescent="0.35">
      <c r="A124" s="766" t="s">
        <v>2033</v>
      </c>
      <c r="B124" s="768" t="s">
        <v>2435</v>
      </c>
      <c r="C124" s="761" t="s">
        <v>2446</v>
      </c>
      <c r="D124" s="763">
        <v>4600.2681118700002</v>
      </c>
      <c r="E124" s="763">
        <v>1168.82849121</v>
      </c>
      <c r="F124" s="762">
        <v>4.0147361799999999</v>
      </c>
      <c r="G124" s="606">
        <v>3935.7940000000003</v>
      </c>
      <c r="H124" s="770" t="str">
        <f t="shared" si="21"/>
        <v>EMR</v>
      </c>
      <c r="I124" s="769">
        <v>1.54</v>
      </c>
      <c r="J124" s="769">
        <v>0.74</v>
      </c>
      <c r="K124" s="769">
        <f t="shared" si="16"/>
        <v>2.0810810810810811</v>
      </c>
      <c r="L124" s="769"/>
      <c r="M124" s="769"/>
      <c r="N124" s="789">
        <f>K124</f>
        <v>2.0810810810810811</v>
      </c>
      <c r="O124" s="767">
        <f>(I124/D124)*1000</f>
        <v>0.33476309696523165</v>
      </c>
      <c r="P124" s="739">
        <f t="shared" si="18"/>
        <v>1.54</v>
      </c>
      <c r="Q124" s="1050">
        <f t="shared" si="17"/>
        <v>1</v>
      </c>
    </row>
    <row r="125" spans="1:17" ht="15.5" x14ac:dyDescent="0.35">
      <c r="A125" s="759" t="s">
        <v>1806</v>
      </c>
      <c r="B125" s="760" t="s">
        <v>2429</v>
      </c>
      <c r="C125" s="761" t="s">
        <v>2442</v>
      </c>
      <c r="D125" s="762">
        <v>477.44317978999999</v>
      </c>
      <c r="E125" s="762">
        <v>81.399917600000009</v>
      </c>
      <c r="F125" s="763">
        <v>7.1493091599999996</v>
      </c>
      <c r="G125" s="606">
        <v>5865.4009999999998</v>
      </c>
      <c r="H125" s="770" t="str">
        <f t="shared" si="21"/>
        <v>EUR</v>
      </c>
      <c r="I125" s="772">
        <v>0.6</v>
      </c>
      <c r="J125" s="772">
        <v>0.22</v>
      </c>
      <c r="K125" s="769">
        <f t="shared" si="16"/>
        <v>2.7272727272727271</v>
      </c>
      <c r="L125" s="772"/>
      <c r="M125" s="772"/>
      <c r="N125" s="789">
        <f>K125</f>
        <v>2.7272727272727271</v>
      </c>
      <c r="O125" s="765">
        <f>(I125/D125)*1000</f>
        <v>1.2566940431820719</v>
      </c>
      <c r="P125" s="739">
        <f t="shared" si="18"/>
        <v>0.6</v>
      </c>
      <c r="Q125" s="1050">
        <f t="shared" si="17"/>
        <v>1</v>
      </c>
    </row>
    <row r="126" spans="1:17" ht="31" x14ac:dyDescent="0.35">
      <c r="A126" s="766" t="s">
        <v>2477</v>
      </c>
      <c r="B126" s="768" t="s">
        <v>2433</v>
      </c>
      <c r="C126" s="761" t="s">
        <v>2442</v>
      </c>
      <c r="D126" s="763">
        <v>353.09192776999998</v>
      </c>
      <c r="E126" s="763">
        <v>52.985248569999996</v>
      </c>
      <c r="F126" s="762">
        <v>2.4536645400000006</v>
      </c>
      <c r="G126" s="606">
        <v>6663.9669999999996</v>
      </c>
      <c r="H126" s="770" t="str">
        <f t="shared" si="21"/>
        <v>WPR</v>
      </c>
      <c r="I126" s="772"/>
      <c r="J126" s="772"/>
      <c r="K126" s="769" t="str">
        <f t="shared" si="16"/>
        <v/>
      </c>
      <c r="L126" s="772"/>
      <c r="M126" s="772"/>
      <c r="N126" s="789" t="s">
        <v>2441</v>
      </c>
      <c r="O126" s="767">
        <f>VLOOKUP(H126,$B$2:$C$10,2,0)</f>
        <v>1.2084262985360623</v>
      </c>
      <c r="P126" s="739">
        <f t="shared" si="18"/>
        <v>0.42668557131806373</v>
      </c>
      <c r="Q126" s="1050">
        <f t="shared" si="17"/>
        <v>0</v>
      </c>
    </row>
    <row r="127" spans="1:17" ht="15.5" x14ac:dyDescent="0.35">
      <c r="A127" s="766" t="s">
        <v>2035</v>
      </c>
      <c r="B127" s="768" t="s">
        <v>2429</v>
      </c>
      <c r="C127" s="761" t="s">
        <v>2446</v>
      </c>
      <c r="D127" s="763">
        <v>1540.4936899599998</v>
      </c>
      <c r="E127" s="763">
        <v>775.5520019500002</v>
      </c>
      <c r="F127" s="762">
        <v>5.7106366200000007</v>
      </c>
      <c r="G127" s="606">
        <v>1986.096</v>
      </c>
      <c r="H127" s="606" t="s">
        <v>2439</v>
      </c>
      <c r="I127" s="769">
        <v>0.72</v>
      </c>
      <c r="J127" s="769">
        <v>1.66</v>
      </c>
      <c r="K127" s="769">
        <f t="shared" si="16"/>
        <v>0.43373493975903615</v>
      </c>
      <c r="L127" s="769"/>
      <c r="M127" s="769"/>
      <c r="N127" s="789">
        <f>K127</f>
        <v>0.43373493975903615</v>
      </c>
      <c r="O127" s="767">
        <f>(I127/D127)*1000</f>
        <v>0.46738263499066679</v>
      </c>
      <c r="P127" s="739">
        <f t="shared" si="18"/>
        <v>0.72</v>
      </c>
      <c r="Q127" s="1050">
        <f t="shared" si="17"/>
        <v>1</v>
      </c>
    </row>
    <row r="128" spans="1:17" ht="15.5" x14ac:dyDescent="0.35">
      <c r="A128" s="759" t="s">
        <v>2036</v>
      </c>
      <c r="B128" s="760" t="s">
        <v>2435</v>
      </c>
      <c r="C128" s="761" t="s">
        <v>2444</v>
      </c>
      <c r="D128" s="762">
        <v>3837.6665657099998</v>
      </c>
      <c r="E128" s="762">
        <v>655.84558104999985</v>
      </c>
      <c r="F128" s="763">
        <v>7.6793432200000016</v>
      </c>
      <c r="G128" s="606">
        <v>5851.4790000000003</v>
      </c>
      <c r="H128" s="770" t="str">
        <f>B128</f>
        <v>EMR</v>
      </c>
      <c r="I128" s="769"/>
      <c r="J128" s="769"/>
      <c r="K128" s="769" t="str">
        <f t="shared" si="16"/>
        <v/>
      </c>
      <c r="L128" s="769"/>
      <c r="M128" s="769"/>
      <c r="N128" s="789" t="s">
        <v>2441</v>
      </c>
      <c r="O128" s="767">
        <f>VLOOKUP(H128,$B$2:$C$10,2,0)</f>
        <v>2.0793883206673902</v>
      </c>
      <c r="P128" s="739">
        <f t="shared" si="18"/>
        <v>7.9799990353531074</v>
      </c>
      <c r="Q128" s="1050">
        <f t="shared" si="17"/>
        <v>0</v>
      </c>
    </row>
    <row r="129" spans="1:17" ht="15.5" x14ac:dyDescent="0.35">
      <c r="A129" s="759" t="s">
        <v>2037</v>
      </c>
      <c r="B129" s="768" t="s">
        <v>2418</v>
      </c>
      <c r="C129" s="761" t="s">
        <v>2442</v>
      </c>
      <c r="D129" s="762">
        <v>213.38180845999995</v>
      </c>
      <c r="E129" s="762">
        <v>98.122596739999977</v>
      </c>
      <c r="F129" s="763">
        <v>8.401555059999998</v>
      </c>
      <c r="G129" s="606">
        <v>2174.645</v>
      </c>
      <c r="H129" s="770" t="str">
        <f>B129</f>
        <v>AFR</v>
      </c>
      <c r="I129" s="769"/>
      <c r="J129" s="769"/>
      <c r="K129" s="769" t="str">
        <f t="shared" si="16"/>
        <v/>
      </c>
      <c r="L129" s="769"/>
      <c r="M129" s="769"/>
      <c r="N129" s="789" t="s">
        <v>2441</v>
      </c>
      <c r="O129" s="767">
        <f>VLOOKUP(H129,$B$2:$C$10,2,0)</f>
        <v>0.78686047711281404</v>
      </c>
      <c r="P129" s="739">
        <f t="shared" si="18"/>
        <v>0.16790171161203066</v>
      </c>
      <c r="Q129" s="1050">
        <f t="shared" si="17"/>
        <v>0</v>
      </c>
    </row>
    <row r="130" spans="1:17" ht="15.5" x14ac:dyDescent="0.35">
      <c r="A130" s="766" t="s">
        <v>2038</v>
      </c>
      <c r="B130" s="760" t="s">
        <v>2418</v>
      </c>
      <c r="C130" s="761" t="s">
        <v>239</v>
      </c>
      <c r="D130" s="763">
        <v>325.46609827000003</v>
      </c>
      <c r="E130" s="763">
        <v>72.331893919999999</v>
      </c>
      <c r="F130" s="762">
        <v>10.289791110000001</v>
      </c>
      <c r="G130" s="606">
        <v>4499.6210000000001</v>
      </c>
      <c r="H130" s="770" t="str">
        <f>B130</f>
        <v>AFR</v>
      </c>
      <c r="I130" s="769"/>
      <c r="J130" s="769"/>
      <c r="K130" s="769" t="str">
        <f t="shared" si="16"/>
        <v/>
      </c>
      <c r="L130" s="769"/>
      <c r="M130" s="769"/>
      <c r="N130" s="789" t="s">
        <v>2441</v>
      </c>
      <c r="O130" s="767">
        <f>VLOOKUP(H130,$B$2:$C$10,2,0)</f>
        <v>0.78686047711281404</v>
      </c>
      <c r="P130" s="739">
        <f t="shared" si="18"/>
        <v>0.25609640936877826</v>
      </c>
      <c r="Q130" s="1050">
        <f t="shared" si="17"/>
        <v>0</v>
      </c>
    </row>
    <row r="131" spans="1:17" ht="15.5" x14ac:dyDescent="0.35">
      <c r="A131" s="766" t="s">
        <v>2039</v>
      </c>
      <c r="B131" s="760" t="s">
        <v>2435</v>
      </c>
      <c r="C131" s="761"/>
      <c r="D131" s="763"/>
      <c r="E131" s="763"/>
      <c r="F131" s="762"/>
      <c r="G131" s="606"/>
      <c r="H131" s="770" t="str">
        <f>B131</f>
        <v>EMR</v>
      </c>
      <c r="I131" s="769"/>
      <c r="J131" s="769"/>
      <c r="K131" s="769" t="str">
        <f t="shared" si="16"/>
        <v/>
      </c>
      <c r="L131" s="769"/>
      <c r="M131" s="769"/>
      <c r="N131" s="789" t="s">
        <v>2441</v>
      </c>
      <c r="O131" s="767">
        <f>VLOOKUP(H131,$B$2:$C$10,2,0)</f>
        <v>2.0793883206673902</v>
      </c>
      <c r="P131" s="739">
        <f t="shared" si="18"/>
        <v>0</v>
      </c>
      <c r="Q131" s="1050">
        <f t="shared" si="17"/>
        <v>0</v>
      </c>
    </row>
    <row r="132" spans="1:17" ht="15.5" x14ac:dyDescent="0.35">
      <c r="A132" s="759" t="s">
        <v>2041</v>
      </c>
      <c r="B132" s="760" t="s">
        <v>2429</v>
      </c>
      <c r="C132" s="761" t="s">
        <v>2446</v>
      </c>
      <c r="D132" s="762">
        <v>2688.1446157300002</v>
      </c>
      <c r="E132" s="762">
        <v>920.19976807</v>
      </c>
      <c r="F132" s="763">
        <v>6.4751462900000005</v>
      </c>
      <c r="G132" s="606">
        <v>2921.2620000000002</v>
      </c>
      <c r="H132" s="606" t="s">
        <v>2439</v>
      </c>
      <c r="I132" s="769">
        <v>1.31</v>
      </c>
      <c r="J132" s="769">
        <v>2.06</v>
      </c>
      <c r="K132" s="769">
        <f t="shared" si="16"/>
        <v>0.63592233009708743</v>
      </c>
      <c r="L132" s="769"/>
      <c r="M132" s="769"/>
      <c r="N132" s="789">
        <f>K132</f>
        <v>0.63592233009708743</v>
      </c>
      <c r="O132" s="767">
        <f>(I132/D132)*1000</f>
        <v>0.48732497215156434</v>
      </c>
      <c r="P132" s="739">
        <f t="shared" si="18"/>
        <v>1.31</v>
      </c>
      <c r="Q132" s="1050">
        <f t="shared" si="17"/>
        <v>1</v>
      </c>
    </row>
    <row r="133" spans="1:17" ht="15.5" x14ac:dyDescent="0.35">
      <c r="A133" s="766" t="s">
        <v>2042</v>
      </c>
      <c r="B133" s="768" t="s">
        <v>2429</v>
      </c>
      <c r="C133" s="761" t="s">
        <v>2446</v>
      </c>
      <c r="D133" s="763">
        <v>3134.2225830400002</v>
      </c>
      <c r="E133" s="763">
        <v>5567.4184570300004</v>
      </c>
      <c r="F133" s="762">
        <v>5.4789891199999996</v>
      </c>
      <c r="G133" s="606">
        <v>562.95799999999997</v>
      </c>
      <c r="H133" s="770" t="str">
        <f t="shared" ref="H133:H138" si="22">B133</f>
        <v>EUR</v>
      </c>
      <c r="I133" s="769"/>
      <c r="J133" s="769"/>
      <c r="K133" s="769" t="str">
        <f t="shared" si="16"/>
        <v/>
      </c>
      <c r="L133" s="769"/>
      <c r="M133" s="769"/>
      <c r="N133" s="789" t="s">
        <v>2441</v>
      </c>
      <c r="O133" s="767">
        <f>VLOOKUP(H133,$B$2:$C$10,2,0)</f>
        <v>1.3809400770844993</v>
      </c>
      <c r="P133" s="739">
        <f t="shared" si="18"/>
        <v>4.3281735754232367</v>
      </c>
      <c r="Q133" s="1050">
        <f t="shared" si="17"/>
        <v>0</v>
      </c>
    </row>
    <row r="134" spans="1:17" ht="15.5" x14ac:dyDescent="0.35">
      <c r="A134" s="759" t="s">
        <v>2045</v>
      </c>
      <c r="B134" s="768" t="s">
        <v>2418</v>
      </c>
      <c r="C134" s="761" t="s">
        <v>239</v>
      </c>
      <c r="D134" s="762">
        <v>555.10176041999989</v>
      </c>
      <c r="E134" s="762">
        <v>22.905822749999999</v>
      </c>
      <c r="F134" s="763">
        <v>5.7211685200000009</v>
      </c>
      <c r="G134" s="606">
        <v>24234.087999999996</v>
      </c>
      <c r="H134" s="770" t="str">
        <f t="shared" si="22"/>
        <v>AFR</v>
      </c>
      <c r="I134" s="769"/>
      <c r="J134" s="769"/>
      <c r="K134" s="769" t="str">
        <f t="shared" si="16"/>
        <v/>
      </c>
      <c r="L134" s="769"/>
      <c r="M134" s="769"/>
      <c r="N134" s="789" t="s">
        <v>2441</v>
      </c>
      <c r="O134" s="767">
        <f>VLOOKUP(H134,$B$2:$C$10,2,0)</f>
        <v>0.78686047711281404</v>
      </c>
      <c r="P134" s="739">
        <f t="shared" si="18"/>
        <v>0.43678763605024407</v>
      </c>
      <c r="Q134" s="1050">
        <f t="shared" si="17"/>
        <v>0</v>
      </c>
    </row>
    <row r="135" spans="1:17" ht="15.5" x14ac:dyDescent="0.35">
      <c r="A135" s="766" t="s">
        <v>2047</v>
      </c>
      <c r="B135" s="760" t="s">
        <v>2418</v>
      </c>
      <c r="C135" s="761" t="s">
        <v>239</v>
      </c>
      <c r="D135" s="763">
        <v>597.53605618000006</v>
      </c>
      <c r="E135" s="763">
        <v>34.001903529999993</v>
      </c>
      <c r="F135" s="762">
        <v>9.3333406399999994</v>
      </c>
      <c r="G135" s="606">
        <v>17573.607</v>
      </c>
      <c r="H135" s="770" t="str">
        <f t="shared" si="22"/>
        <v>AFR</v>
      </c>
      <c r="I135" s="769"/>
      <c r="J135" s="769"/>
      <c r="K135" s="769" t="str">
        <f t="shared" si="16"/>
        <v/>
      </c>
      <c r="L135" s="769"/>
      <c r="M135" s="769"/>
      <c r="N135" s="789" t="s">
        <v>2441</v>
      </c>
      <c r="O135" s="767">
        <f>VLOOKUP(H135,$B$2:$C$10,2,0)</f>
        <v>0.78686047711281404</v>
      </c>
      <c r="P135" s="739">
        <f t="shared" si="18"/>
        <v>0.47017750625790411</v>
      </c>
      <c r="Q135" s="1050">
        <f t="shared" si="17"/>
        <v>0</v>
      </c>
    </row>
    <row r="136" spans="1:17" ht="15.5" x14ac:dyDescent="0.35">
      <c r="A136" s="759" t="s">
        <v>2048</v>
      </c>
      <c r="B136" s="760" t="s">
        <v>2433</v>
      </c>
      <c r="C136" s="761" t="s">
        <v>2444</v>
      </c>
      <c r="D136" s="762">
        <v>11499.952511729998</v>
      </c>
      <c r="E136" s="762">
        <v>374.30899048000003</v>
      </c>
      <c r="F136" s="763">
        <v>3.8767959900000002</v>
      </c>
      <c r="G136" s="606">
        <v>30723.154999999999</v>
      </c>
      <c r="H136" s="770" t="str">
        <f t="shared" si="22"/>
        <v>WPR</v>
      </c>
      <c r="I136" s="769">
        <v>7.64</v>
      </c>
      <c r="J136" s="769">
        <v>8.9700000000000006</v>
      </c>
      <c r="K136" s="769">
        <f t="shared" si="16"/>
        <v>0.85172798216276469</v>
      </c>
      <c r="L136" s="769"/>
      <c r="M136" s="769"/>
      <c r="N136" s="789">
        <f>K136</f>
        <v>0.85172798216276469</v>
      </c>
      <c r="O136" s="767">
        <f>(I136/D136)*1000</f>
        <v>0.664350569466019</v>
      </c>
      <c r="P136" s="739">
        <f t="shared" si="18"/>
        <v>7.64</v>
      </c>
      <c r="Q136" s="1050">
        <f t="shared" si="17"/>
        <v>1</v>
      </c>
    </row>
    <row r="137" spans="1:17" ht="15.5" x14ac:dyDescent="0.35">
      <c r="A137" s="766" t="s">
        <v>2049</v>
      </c>
      <c r="B137" s="768" t="s">
        <v>2427</v>
      </c>
      <c r="C137" s="761" t="s">
        <v>2444</v>
      </c>
      <c r="D137" s="763">
        <v>357.12265760000003</v>
      </c>
      <c r="E137" s="763">
        <v>853.53747558999999</v>
      </c>
      <c r="F137" s="762">
        <v>8.6903018999999997</v>
      </c>
      <c r="G137" s="606">
        <v>418.40300000000008</v>
      </c>
      <c r="H137" s="770" t="str">
        <f t="shared" si="22"/>
        <v>SEAR</v>
      </c>
      <c r="I137" s="769"/>
      <c r="J137" s="769"/>
      <c r="K137" s="769" t="str">
        <f t="shared" si="16"/>
        <v/>
      </c>
      <c r="L137" s="769"/>
      <c r="M137" s="769"/>
      <c r="N137" s="789" t="s">
        <v>2441</v>
      </c>
      <c r="O137" s="767">
        <f>VLOOKUP(H137,$B$2:$C$10,2,0)</f>
        <v>1.7892275289669113</v>
      </c>
      <c r="P137" s="739">
        <f t="shared" si="18"/>
        <v>0.63897369019574446</v>
      </c>
      <c r="Q137" s="1050">
        <f t="shared" si="17"/>
        <v>0</v>
      </c>
    </row>
    <row r="138" spans="1:17" ht="15.5" x14ac:dyDescent="0.35">
      <c r="A138" s="759" t="s">
        <v>2050</v>
      </c>
      <c r="B138" s="768" t="s">
        <v>2418</v>
      </c>
      <c r="C138" s="761" t="s">
        <v>239</v>
      </c>
      <c r="D138" s="762">
        <v>538.57977366000023</v>
      </c>
      <c r="E138" s="762">
        <v>30.83253479</v>
      </c>
      <c r="F138" s="763">
        <v>4.1114335100000003</v>
      </c>
      <c r="G138" s="606">
        <v>17467.904999999999</v>
      </c>
      <c r="H138" s="770" t="str">
        <f t="shared" si="22"/>
        <v>AFR</v>
      </c>
      <c r="I138" s="769"/>
      <c r="J138" s="769"/>
      <c r="K138" s="769" t="str">
        <f t="shared" si="16"/>
        <v/>
      </c>
      <c r="L138" s="769"/>
      <c r="M138" s="769"/>
      <c r="N138" s="789" t="s">
        <v>2441</v>
      </c>
      <c r="O138" s="767">
        <f>VLOOKUP(H138,$B$2:$C$10,2,0)</f>
        <v>0.78686047711281404</v>
      </c>
      <c r="P138" s="739">
        <f t="shared" si="18"/>
        <v>0.42378713766541914</v>
      </c>
      <c r="Q138" s="1050">
        <f t="shared" si="17"/>
        <v>0</v>
      </c>
    </row>
    <row r="139" spans="1:17" ht="15.5" x14ac:dyDescent="0.35">
      <c r="A139" s="759" t="s">
        <v>2051</v>
      </c>
      <c r="B139" s="760" t="s">
        <v>2429</v>
      </c>
      <c r="C139" s="761" t="s">
        <v>2446</v>
      </c>
      <c r="D139" s="762">
        <v>989.24254187000008</v>
      </c>
      <c r="E139" s="762">
        <v>2249.8586425799999</v>
      </c>
      <c r="F139" s="763">
        <v>9.237205509999999</v>
      </c>
      <c r="G139" s="606">
        <v>439.69099999999997</v>
      </c>
      <c r="H139" s="606" t="s">
        <v>2431</v>
      </c>
      <c r="I139" s="769">
        <v>0.23</v>
      </c>
      <c r="J139" s="769">
        <v>0.67</v>
      </c>
      <c r="K139" s="769">
        <f t="shared" si="16"/>
        <v>0.34328358208955223</v>
      </c>
      <c r="L139" s="769"/>
      <c r="M139" s="769"/>
      <c r="N139" s="789">
        <f>K139</f>
        <v>0.34328358208955223</v>
      </c>
      <c r="O139" s="767">
        <f>(I139/D139)*1000</f>
        <v>0.23250112107514392</v>
      </c>
      <c r="P139" s="739">
        <f t="shared" si="18"/>
        <v>0.23000000000000004</v>
      </c>
      <c r="Q139" s="1050">
        <f t="shared" si="17"/>
        <v>1</v>
      </c>
    </row>
    <row r="140" spans="1:17" ht="15.5" x14ac:dyDescent="0.35">
      <c r="A140" s="766" t="s">
        <v>2052</v>
      </c>
      <c r="B140" s="768" t="s">
        <v>2433</v>
      </c>
      <c r="C140" s="761" t="s">
        <v>2444</v>
      </c>
      <c r="D140" s="763">
        <v>31.839086999999999</v>
      </c>
      <c r="E140" s="763">
        <v>600.80548096000007</v>
      </c>
      <c r="F140" s="762">
        <v>17.590656280000001</v>
      </c>
      <c r="G140" s="606">
        <v>52.993999999999993</v>
      </c>
      <c r="H140" s="770" t="str">
        <f>B140</f>
        <v>WPR</v>
      </c>
      <c r="I140" s="769"/>
      <c r="J140" s="769"/>
      <c r="K140" s="769" t="str">
        <f t="shared" si="16"/>
        <v/>
      </c>
      <c r="L140" s="769"/>
      <c r="M140" s="769"/>
      <c r="N140" s="789" t="s">
        <v>2441</v>
      </c>
      <c r="O140" s="767">
        <f>VLOOKUP(H140,$B$2:$C$10,2,0)</f>
        <v>1.2084262985360623</v>
      </c>
      <c r="P140" s="739">
        <f t="shared" si="18"/>
        <v>3.8475190052177657E-2</v>
      </c>
      <c r="Q140" s="1050">
        <f t="shared" si="17"/>
        <v>0</v>
      </c>
    </row>
    <row r="141" spans="1:17" ht="15.5" x14ac:dyDescent="0.35">
      <c r="A141" s="766" t="s">
        <v>2054</v>
      </c>
      <c r="B141" s="760" t="s">
        <v>2418</v>
      </c>
      <c r="C141" s="761" t="s">
        <v>2442</v>
      </c>
      <c r="D141" s="763">
        <v>228.57231382000001</v>
      </c>
      <c r="E141" s="763">
        <v>54.651763919999993</v>
      </c>
      <c r="F141" s="762">
        <v>4.7432475099999989</v>
      </c>
      <c r="G141" s="606">
        <v>4182.3409999999994</v>
      </c>
      <c r="H141" s="770" t="str">
        <f>B141</f>
        <v>AFR</v>
      </c>
      <c r="I141" s="769"/>
      <c r="J141" s="769"/>
      <c r="K141" s="769" t="str">
        <f t="shared" si="16"/>
        <v/>
      </c>
      <c r="L141" s="769"/>
      <c r="M141" s="769"/>
      <c r="N141" s="789" t="s">
        <v>2441</v>
      </c>
      <c r="O141" s="767">
        <f>VLOOKUP(H141,$B$2:$C$10,2,0)</f>
        <v>0.78686047711281404</v>
      </c>
      <c r="P141" s="739">
        <f t="shared" si="18"/>
        <v>0.17985451990718504</v>
      </c>
      <c r="Q141" s="1050">
        <f t="shared" si="17"/>
        <v>0</v>
      </c>
    </row>
    <row r="142" spans="1:17" ht="15.5" x14ac:dyDescent="0.35">
      <c r="A142" s="759" t="s">
        <v>2055</v>
      </c>
      <c r="B142" s="768" t="s">
        <v>2418</v>
      </c>
      <c r="C142" s="761" t="s">
        <v>2444</v>
      </c>
      <c r="D142" s="762">
        <v>666.45547826999996</v>
      </c>
      <c r="E142" s="762">
        <v>529.16137695000009</v>
      </c>
      <c r="F142" s="763">
        <v>5.6999588000000001</v>
      </c>
      <c r="G142" s="606">
        <v>1259.4560000000001</v>
      </c>
      <c r="H142" s="770" t="str">
        <f>B142</f>
        <v>AFR</v>
      </c>
      <c r="I142" s="769">
        <v>0.46</v>
      </c>
      <c r="J142" s="769">
        <v>0.49</v>
      </c>
      <c r="K142" s="769">
        <f t="shared" si="16"/>
        <v>0.93877551020408168</v>
      </c>
      <c r="L142" s="769"/>
      <c r="M142" s="769"/>
      <c r="N142" s="789">
        <f>K142</f>
        <v>0.93877551020408168</v>
      </c>
      <c r="O142" s="767">
        <f>(I142/D142)*1000</f>
        <v>0.69021864925482845</v>
      </c>
      <c r="P142" s="739">
        <f t="shared" si="18"/>
        <v>0.46000000000000008</v>
      </c>
      <c r="Q142" s="1050">
        <f t="shared" si="17"/>
        <v>1</v>
      </c>
    </row>
    <row r="143" spans="1:17" ht="15.5" x14ac:dyDescent="0.35">
      <c r="A143" s="766" t="s">
        <v>2057</v>
      </c>
      <c r="B143" s="768" t="s">
        <v>2424</v>
      </c>
      <c r="C143" s="761" t="s">
        <v>2444</v>
      </c>
      <c r="D143" s="763">
        <v>67858.793961100004</v>
      </c>
      <c r="E143" s="763">
        <v>539.02832031000014</v>
      </c>
      <c r="F143" s="762">
        <v>5.7970871900000001</v>
      </c>
      <c r="G143" s="606">
        <v>125890.94899999999</v>
      </c>
      <c r="H143" s="606" t="s">
        <v>2437</v>
      </c>
      <c r="I143" s="769">
        <v>16.55</v>
      </c>
      <c r="J143" s="769">
        <v>52.86</v>
      </c>
      <c r="K143" s="769">
        <f t="shared" si="16"/>
        <v>0.3130911842603103</v>
      </c>
      <c r="L143" s="769"/>
      <c r="M143" s="769"/>
      <c r="N143" s="789">
        <f>K143</f>
        <v>0.3130911842603103</v>
      </c>
      <c r="O143" s="767">
        <f>(I143/D143)*1000</f>
        <v>0.24388880252553963</v>
      </c>
      <c r="P143" s="739">
        <f t="shared" si="18"/>
        <v>16.55</v>
      </c>
      <c r="Q143" s="1050">
        <f t="shared" si="17"/>
        <v>1</v>
      </c>
    </row>
    <row r="144" spans="1:17" ht="15.5" x14ac:dyDescent="0.35">
      <c r="A144" s="759" t="s">
        <v>2478</v>
      </c>
      <c r="B144" s="760" t="s">
        <v>2433</v>
      </c>
      <c r="C144" s="761" t="s">
        <v>2442</v>
      </c>
      <c r="D144" s="762">
        <v>39.47429254</v>
      </c>
      <c r="E144" s="762">
        <v>377.98678589000002</v>
      </c>
      <c r="F144" s="763">
        <v>12.531521800000004</v>
      </c>
      <c r="G144" s="606">
        <v>104.43299999999999</v>
      </c>
      <c r="H144" s="770" t="str">
        <f>B144</f>
        <v>WPR</v>
      </c>
      <c r="I144" s="769"/>
      <c r="J144" s="769"/>
      <c r="K144" s="769" t="str">
        <f t="shared" si="16"/>
        <v/>
      </c>
      <c r="L144" s="769"/>
      <c r="M144" s="769"/>
      <c r="N144" s="789" t="s">
        <v>2441</v>
      </c>
      <c r="O144" s="767">
        <f t="shared" ref="O144:O153" si="23">VLOOKUP(H144,$B$2:$C$10,2,0)</f>
        <v>1.2084262985360623</v>
      </c>
      <c r="P144" s="739">
        <f t="shared" si="18"/>
        <v>4.7701773221441895E-2</v>
      </c>
      <c r="Q144" s="1050">
        <f t="shared" si="17"/>
        <v>0</v>
      </c>
    </row>
    <row r="145" spans="1:17" ht="15.5" x14ac:dyDescent="0.35">
      <c r="A145" s="766" t="s">
        <v>2060</v>
      </c>
      <c r="B145" s="768" t="s">
        <v>2429</v>
      </c>
      <c r="C145" s="761" t="s">
        <v>2446</v>
      </c>
      <c r="D145" s="763">
        <v>126.95604226</v>
      </c>
      <c r="E145" s="763">
        <v>3314.1735839799999</v>
      </c>
      <c r="F145" s="762">
        <v>2.02833343</v>
      </c>
      <c r="G145" s="606">
        <v>38.307000000000002</v>
      </c>
      <c r="H145" s="770" t="str">
        <f t="shared" ref="H145:H153" si="24">B145</f>
        <v>EUR</v>
      </c>
      <c r="I145" s="769"/>
      <c r="J145" s="769"/>
      <c r="K145" s="769" t="str">
        <f t="shared" si="16"/>
        <v/>
      </c>
      <c r="L145" s="769"/>
      <c r="M145" s="769"/>
      <c r="N145" s="789" t="s">
        <v>2441</v>
      </c>
      <c r="O145" s="767">
        <f t="shared" si="23"/>
        <v>1.3809400770844993</v>
      </c>
      <c r="P145" s="739">
        <f t="shared" si="18"/>
        <v>0.17531868678486737</v>
      </c>
      <c r="Q145" s="1050">
        <f t="shared" si="17"/>
        <v>0</v>
      </c>
    </row>
    <row r="146" spans="1:17" ht="15.5" x14ac:dyDescent="0.35">
      <c r="A146" s="766" t="s">
        <v>2061</v>
      </c>
      <c r="B146" s="768" t="s">
        <v>2433</v>
      </c>
      <c r="C146" s="761" t="s">
        <v>2442</v>
      </c>
      <c r="D146" s="763">
        <v>497.98904885000013</v>
      </c>
      <c r="E146" s="763">
        <v>167.28573607999999</v>
      </c>
      <c r="F146" s="762">
        <v>4.2383408499999993</v>
      </c>
      <c r="G146" s="606">
        <v>2976.877</v>
      </c>
      <c r="H146" s="770" t="str">
        <f t="shared" si="24"/>
        <v>WPR</v>
      </c>
      <c r="I146" s="769"/>
      <c r="J146" s="769"/>
      <c r="K146" s="769" t="str">
        <f t="shared" si="16"/>
        <v/>
      </c>
      <c r="L146" s="769"/>
      <c r="M146" s="769"/>
      <c r="N146" s="789" t="s">
        <v>2441</v>
      </c>
      <c r="O146" s="767">
        <f t="shared" si="23"/>
        <v>1.2084262985360623</v>
      </c>
      <c r="P146" s="739">
        <f t="shared" si="18"/>
        <v>0.60178306301329998</v>
      </c>
      <c r="Q146" s="1050">
        <f t="shared" si="17"/>
        <v>0</v>
      </c>
    </row>
    <row r="147" spans="1:17" ht="15.5" x14ac:dyDescent="0.35">
      <c r="A147" s="759" t="s">
        <v>2062</v>
      </c>
      <c r="B147" s="768" t="s">
        <v>2429</v>
      </c>
      <c r="C147" s="761"/>
      <c r="D147" s="762"/>
      <c r="E147" s="762"/>
      <c r="F147" s="763"/>
      <c r="G147" s="606"/>
      <c r="H147" s="770" t="str">
        <f t="shared" si="24"/>
        <v>EUR</v>
      </c>
      <c r="I147" s="769"/>
      <c r="J147" s="769"/>
      <c r="K147" s="769" t="str">
        <f t="shared" si="16"/>
        <v/>
      </c>
      <c r="L147" s="769"/>
      <c r="M147" s="769"/>
      <c r="N147" s="789" t="s">
        <v>2441</v>
      </c>
      <c r="O147" s="767">
        <f t="shared" si="23"/>
        <v>1.3809400770844993</v>
      </c>
      <c r="P147" s="739">
        <f t="shared" si="18"/>
        <v>0</v>
      </c>
      <c r="Q147" s="1050">
        <f t="shared" si="17"/>
        <v>0</v>
      </c>
    </row>
    <row r="148" spans="1:17" ht="15.5" x14ac:dyDescent="0.35">
      <c r="A148" s="759" t="s">
        <v>2064</v>
      </c>
      <c r="B148" s="768" t="s">
        <v>2435</v>
      </c>
      <c r="C148" s="761" t="s">
        <v>2442</v>
      </c>
      <c r="D148" s="762">
        <v>5131.5563624600009</v>
      </c>
      <c r="E148" s="762">
        <v>147.44442749000001</v>
      </c>
      <c r="F148" s="763">
        <v>5.0717449199999987</v>
      </c>
      <c r="G148" s="606">
        <v>34803.322</v>
      </c>
      <c r="H148" s="770" t="str">
        <f t="shared" si="24"/>
        <v>EMR</v>
      </c>
      <c r="I148" s="769"/>
      <c r="J148" s="769"/>
      <c r="K148" s="769" t="str">
        <f t="shared" si="16"/>
        <v/>
      </c>
      <c r="L148" s="769"/>
      <c r="M148" s="769"/>
      <c r="N148" s="789" t="s">
        <v>2441</v>
      </c>
      <c r="O148" s="767">
        <f t="shared" si="23"/>
        <v>2.0793883206673902</v>
      </c>
      <c r="P148" s="739">
        <f t="shared" si="18"/>
        <v>10.670498366945763</v>
      </c>
      <c r="Q148" s="1050">
        <f t="shared" si="17"/>
        <v>0</v>
      </c>
    </row>
    <row r="149" spans="1:17" ht="15.5" x14ac:dyDescent="0.35">
      <c r="A149" s="766" t="s">
        <v>2065</v>
      </c>
      <c r="B149" s="760" t="s">
        <v>2418</v>
      </c>
      <c r="C149" s="761" t="s">
        <v>239</v>
      </c>
      <c r="D149" s="763">
        <v>779.65920802000005</v>
      </c>
      <c r="E149" s="763">
        <v>27.834342960000004</v>
      </c>
      <c r="F149" s="762">
        <v>5.2685165399999994</v>
      </c>
      <c r="G149" s="606">
        <v>28010.691000000003</v>
      </c>
      <c r="H149" s="770" t="str">
        <f t="shared" si="24"/>
        <v>AFR</v>
      </c>
      <c r="I149" s="769"/>
      <c r="J149" s="769"/>
      <c r="K149" s="769" t="str">
        <f t="shared" si="16"/>
        <v/>
      </c>
      <c r="L149" s="769"/>
      <c r="M149" s="769"/>
      <c r="N149" s="789" t="s">
        <v>2441</v>
      </c>
      <c r="O149" s="767">
        <f t="shared" si="23"/>
        <v>0.78686047711281404</v>
      </c>
      <c r="P149" s="739">
        <f t="shared" si="18"/>
        <v>0.61348301640801595</v>
      </c>
      <c r="Q149" s="1050">
        <f t="shared" si="17"/>
        <v>0</v>
      </c>
    </row>
    <row r="150" spans="1:17" ht="15.5" x14ac:dyDescent="0.35">
      <c r="A150" s="759" t="s">
        <v>2066</v>
      </c>
      <c r="B150" s="760" t="s">
        <v>2427</v>
      </c>
      <c r="C150" s="761" t="s">
        <v>2442</v>
      </c>
      <c r="D150" s="762">
        <v>3250.4573358200005</v>
      </c>
      <c r="E150" s="762">
        <v>62.027282709999994</v>
      </c>
      <c r="F150" s="763">
        <v>5.1971154200000003</v>
      </c>
      <c r="G150" s="606">
        <v>52403.669000000009</v>
      </c>
      <c r="H150" s="770" t="str">
        <f t="shared" si="24"/>
        <v>SEAR</v>
      </c>
      <c r="I150" s="769"/>
      <c r="J150" s="769"/>
      <c r="K150" s="769" t="str">
        <f t="shared" si="16"/>
        <v/>
      </c>
      <c r="L150" s="769"/>
      <c r="M150" s="769"/>
      <c r="N150" s="789" t="s">
        <v>2441</v>
      </c>
      <c r="O150" s="767">
        <f t="shared" si="23"/>
        <v>1.7892275289669113</v>
      </c>
      <c r="P150" s="739">
        <f t="shared" si="18"/>
        <v>5.815807746981589</v>
      </c>
      <c r="Q150" s="1050">
        <f t="shared" si="17"/>
        <v>0</v>
      </c>
    </row>
    <row r="151" spans="1:17" ht="15.5" x14ac:dyDescent="0.35">
      <c r="A151" s="759" t="s">
        <v>2067</v>
      </c>
      <c r="B151" s="768" t="s">
        <v>2418</v>
      </c>
      <c r="C151" s="761" t="s">
        <v>2444</v>
      </c>
      <c r="D151" s="762">
        <v>1157.5684819699998</v>
      </c>
      <c r="E151" s="762">
        <v>477.23742676000012</v>
      </c>
      <c r="F151" s="763">
        <v>9.9356393799999996</v>
      </c>
      <c r="G151" s="606">
        <v>2425.5610000000001</v>
      </c>
      <c r="H151" s="770" t="str">
        <f t="shared" si="24"/>
        <v>AFR</v>
      </c>
      <c r="I151" s="769"/>
      <c r="J151" s="769"/>
      <c r="K151" s="769" t="str">
        <f t="shared" si="16"/>
        <v/>
      </c>
      <c r="L151" s="769"/>
      <c r="M151" s="769"/>
      <c r="N151" s="789" t="s">
        <v>2441</v>
      </c>
      <c r="O151" s="767">
        <f t="shared" si="23"/>
        <v>0.78686047711281404</v>
      </c>
      <c r="P151" s="739">
        <f t="shared" si="18"/>
        <v>0.91084488801366992</v>
      </c>
      <c r="Q151" s="1050">
        <f t="shared" si="17"/>
        <v>0</v>
      </c>
    </row>
    <row r="152" spans="1:17" ht="15.5" x14ac:dyDescent="0.35">
      <c r="A152" s="759" t="s">
        <v>2068</v>
      </c>
      <c r="B152" s="760" t="s">
        <v>2433</v>
      </c>
      <c r="C152" s="761" t="s">
        <v>2444</v>
      </c>
      <c r="D152" s="762">
        <v>11.87032801</v>
      </c>
      <c r="E152" s="762">
        <v>1054.2032470700001</v>
      </c>
      <c r="F152" s="763">
        <v>13.251656529999996</v>
      </c>
      <c r="G152" s="606">
        <v>11.26</v>
      </c>
      <c r="H152" s="770" t="str">
        <f t="shared" si="24"/>
        <v>WPR</v>
      </c>
      <c r="I152" s="769"/>
      <c r="J152" s="769"/>
      <c r="K152" s="769" t="str">
        <f t="shared" si="16"/>
        <v/>
      </c>
      <c r="L152" s="769"/>
      <c r="M152" s="769"/>
      <c r="N152" s="789" t="s">
        <v>2441</v>
      </c>
      <c r="O152" s="767">
        <f t="shared" si="23"/>
        <v>1.2084262985360623</v>
      </c>
      <c r="P152" s="739">
        <f t="shared" si="18"/>
        <v>1.4344416539533241E-2</v>
      </c>
      <c r="Q152" s="1050">
        <f t="shared" si="17"/>
        <v>0</v>
      </c>
    </row>
    <row r="153" spans="1:17" ht="15.5" x14ac:dyDescent="0.35">
      <c r="A153" s="766" t="s">
        <v>2069</v>
      </c>
      <c r="B153" s="768" t="s">
        <v>2427</v>
      </c>
      <c r="C153" s="761" t="s">
        <v>239</v>
      </c>
      <c r="D153" s="763">
        <v>1293.68334172</v>
      </c>
      <c r="E153" s="763">
        <v>45.144840239999994</v>
      </c>
      <c r="F153" s="762">
        <v>6.2192721399999993</v>
      </c>
      <c r="G153" s="606">
        <v>28656.281999999999</v>
      </c>
      <c r="H153" s="770" t="str">
        <f t="shared" si="24"/>
        <v>SEAR</v>
      </c>
      <c r="I153" s="769"/>
      <c r="J153" s="769"/>
      <c r="K153" s="769" t="str">
        <f t="shared" si="16"/>
        <v/>
      </c>
      <c r="L153" s="769"/>
      <c r="M153" s="769"/>
      <c r="N153" s="789" t="s">
        <v>2441</v>
      </c>
      <c r="O153" s="767">
        <f t="shared" si="23"/>
        <v>1.7892275289669113</v>
      </c>
      <c r="P153" s="739">
        <f t="shared" si="18"/>
        <v>2.314693848771332</v>
      </c>
      <c r="Q153" s="1050">
        <f t="shared" si="17"/>
        <v>0</v>
      </c>
    </row>
    <row r="154" spans="1:17" ht="15.5" x14ac:dyDescent="0.35">
      <c r="A154" s="766" t="s">
        <v>2070</v>
      </c>
      <c r="B154" s="760" t="s">
        <v>2429</v>
      </c>
      <c r="C154" s="761" t="s">
        <v>2446</v>
      </c>
      <c r="D154" s="763">
        <v>79005.477680590004</v>
      </c>
      <c r="E154" s="763">
        <v>4674.6796875</v>
      </c>
      <c r="F154" s="762">
        <v>10.32393837</v>
      </c>
      <c r="G154" s="606">
        <v>16900.726000000002</v>
      </c>
      <c r="H154" s="606" t="s">
        <v>2439</v>
      </c>
      <c r="I154" s="769">
        <v>13.38</v>
      </c>
      <c r="J154" s="769">
        <v>85</v>
      </c>
      <c r="K154" s="769">
        <f t="shared" si="16"/>
        <v>0.15741176470588236</v>
      </c>
      <c r="L154" s="769"/>
      <c r="M154" s="769"/>
      <c r="N154" s="789">
        <f>K154</f>
        <v>0.15741176470588236</v>
      </c>
      <c r="O154" s="767">
        <f>(I154/D154)*1000</f>
        <v>0.16935534589251888</v>
      </c>
      <c r="P154" s="739">
        <f t="shared" si="18"/>
        <v>13.38</v>
      </c>
      <c r="Q154" s="1050">
        <f t="shared" si="17"/>
        <v>1</v>
      </c>
    </row>
    <row r="155" spans="1:17" ht="15.5" x14ac:dyDescent="0.35">
      <c r="A155" s="766" t="s">
        <v>2073</v>
      </c>
      <c r="B155" s="768" t="s">
        <v>2433</v>
      </c>
      <c r="C155" s="761" t="s">
        <v>2446</v>
      </c>
      <c r="D155" s="763">
        <v>16530.346763370002</v>
      </c>
      <c r="E155" s="763">
        <v>3582.2729492200001</v>
      </c>
      <c r="F155" s="762">
        <v>9.3283062000000001</v>
      </c>
      <c r="G155" s="606">
        <v>4614.5320000000002</v>
      </c>
      <c r="H155" s="606" t="s">
        <v>2437</v>
      </c>
      <c r="I155" s="769">
        <v>3.45</v>
      </c>
      <c r="J155" s="769">
        <v>12.22</v>
      </c>
      <c r="K155" s="769">
        <f t="shared" si="16"/>
        <v>0.28232405891980361</v>
      </c>
      <c r="L155" s="769"/>
      <c r="M155" s="769"/>
      <c r="N155" s="789">
        <f>K155</f>
        <v>0.28232405891980361</v>
      </c>
      <c r="O155" s="767">
        <f>(I155/D155)*1000</f>
        <v>0.20870705553769381</v>
      </c>
      <c r="P155" s="739">
        <f t="shared" si="18"/>
        <v>3.45</v>
      </c>
      <c r="Q155" s="1050">
        <f t="shared" si="17"/>
        <v>1</v>
      </c>
    </row>
    <row r="156" spans="1:17" ht="15.5" x14ac:dyDescent="0.35">
      <c r="A156" s="759" t="s">
        <v>2074</v>
      </c>
      <c r="B156" s="760" t="s">
        <v>2424</v>
      </c>
      <c r="C156" s="761" t="s">
        <v>2442</v>
      </c>
      <c r="D156" s="762">
        <v>1009.0731097700002</v>
      </c>
      <c r="E156" s="762">
        <v>165.91043091</v>
      </c>
      <c r="F156" s="763">
        <v>8.001485820000001</v>
      </c>
      <c r="G156" s="606">
        <v>6082.0349999999999</v>
      </c>
      <c r="H156" s="770" t="str">
        <f>B156</f>
        <v>AMR</v>
      </c>
      <c r="I156" s="769"/>
      <c r="J156" s="769"/>
      <c r="K156" s="769" t="str">
        <f t="shared" si="16"/>
        <v/>
      </c>
      <c r="L156" s="769"/>
      <c r="M156" s="769"/>
      <c r="N156" s="789" t="s">
        <v>2441</v>
      </c>
      <c r="O156" s="767">
        <f>VLOOKUP(H156,$B$2:$C$10,2,0)</f>
        <v>1.7429565890762324</v>
      </c>
      <c r="P156" s="739">
        <f t="shared" si="18"/>
        <v>1.7587706255332662</v>
      </c>
      <c r="Q156" s="1050">
        <f t="shared" si="17"/>
        <v>0</v>
      </c>
    </row>
    <row r="157" spans="1:17" ht="15.5" x14ac:dyDescent="0.35">
      <c r="A157" s="766" t="s">
        <v>2075</v>
      </c>
      <c r="B157" s="760" t="s">
        <v>2418</v>
      </c>
      <c r="C157" s="761" t="s">
        <v>239</v>
      </c>
      <c r="D157" s="763">
        <v>517.60167406999994</v>
      </c>
      <c r="E157" s="763">
        <v>26.014099119999997</v>
      </c>
      <c r="F157" s="762">
        <v>7.1380333899999995</v>
      </c>
      <c r="G157" s="606">
        <v>19896.965</v>
      </c>
      <c r="H157" s="770" t="str">
        <f>B157</f>
        <v>AFR</v>
      </c>
      <c r="I157" s="769"/>
      <c r="J157" s="769"/>
      <c r="K157" s="769" t="str">
        <f t="shared" si="16"/>
        <v/>
      </c>
      <c r="L157" s="769"/>
      <c r="M157" s="769"/>
      <c r="N157" s="789" t="s">
        <v>2441</v>
      </c>
      <c r="O157" s="767">
        <f>VLOOKUP(H157,$B$2:$C$10,2,0)</f>
        <v>0.78686047711281404</v>
      </c>
      <c r="P157" s="739">
        <f t="shared" si="18"/>
        <v>0.40728030021311146</v>
      </c>
      <c r="Q157" s="1050">
        <f t="shared" si="17"/>
        <v>0</v>
      </c>
    </row>
    <row r="158" spans="1:17" ht="15.5" x14ac:dyDescent="0.35">
      <c r="A158" s="759" t="s">
        <v>2076</v>
      </c>
      <c r="B158" s="768" t="s">
        <v>2418</v>
      </c>
      <c r="C158" s="761" t="s">
        <v>2442</v>
      </c>
      <c r="D158" s="762">
        <v>17715.718950239996</v>
      </c>
      <c r="E158" s="762">
        <v>97.778717039999989</v>
      </c>
      <c r="F158" s="763">
        <v>3.58194971</v>
      </c>
      <c r="G158" s="606">
        <v>181181.74400000001</v>
      </c>
      <c r="H158" s="770" t="str">
        <f>B158</f>
        <v>AFR</v>
      </c>
      <c r="I158" s="769"/>
      <c r="J158" s="769"/>
      <c r="K158" s="769" t="str">
        <f t="shared" si="16"/>
        <v/>
      </c>
      <c r="L158" s="769"/>
      <c r="M158" s="769"/>
      <c r="N158" s="789" t="s">
        <v>2441</v>
      </c>
      <c r="O158" s="767">
        <f>VLOOKUP(H158,$B$2:$C$10,2,0)</f>
        <v>0.78686047711281404</v>
      </c>
      <c r="P158" s="739">
        <f t="shared" si="18"/>
        <v>13.939799065582365</v>
      </c>
      <c r="Q158" s="1050">
        <f t="shared" si="17"/>
        <v>0</v>
      </c>
    </row>
    <row r="159" spans="1:17" ht="15.5" x14ac:dyDescent="0.35">
      <c r="A159" s="759" t="s">
        <v>2077</v>
      </c>
      <c r="B159" s="760" t="s">
        <v>2433</v>
      </c>
      <c r="C159" s="761" t="s">
        <v>2444</v>
      </c>
      <c r="D159" s="762">
        <v>1.8299798300000003</v>
      </c>
      <c r="E159" s="762">
        <v>1130.31481934</v>
      </c>
      <c r="F159" s="763">
        <v>8.1904716500000028</v>
      </c>
      <c r="G159" s="606">
        <v>1.6190000000000002</v>
      </c>
      <c r="H159" s="770" t="str">
        <f>B159</f>
        <v>WPR</v>
      </c>
      <c r="I159" s="769"/>
      <c r="J159" s="769"/>
      <c r="K159" s="769" t="str">
        <f t="shared" ref="K159:K222" si="25">IFERROR((I159/J159),"")</f>
        <v/>
      </c>
      <c r="L159" s="769"/>
      <c r="M159" s="769"/>
      <c r="N159" s="789" t="s">
        <v>2441</v>
      </c>
      <c r="O159" s="767">
        <f>VLOOKUP(H159,$B$2:$C$10,2,0)</f>
        <v>1.2084262985360623</v>
      </c>
      <c r="P159" s="739">
        <f t="shared" si="18"/>
        <v>2.211395752362553E-3</v>
      </c>
      <c r="Q159" s="1050">
        <f t="shared" si="17"/>
        <v>0</v>
      </c>
    </row>
    <row r="160" spans="1:17" ht="15.5" x14ac:dyDescent="0.35">
      <c r="A160" s="759" t="s">
        <v>2079</v>
      </c>
      <c r="B160" s="768" t="s">
        <v>2429</v>
      </c>
      <c r="C160" s="761" t="s">
        <v>2446</v>
      </c>
      <c r="D160" s="762">
        <v>39087.36017</v>
      </c>
      <c r="E160" s="762">
        <v>7565.5498046900002</v>
      </c>
      <c r="F160" s="763">
        <v>10.108892440000002</v>
      </c>
      <c r="G160" s="606">
        <v>5166.4930000000004</v>
      </c>
      <c r="H160" s="606" t="s">
        <v>2437</v>
      </c>
      <c r="I160" s="769">
        <v>4.2300000000000004</v>
      </c>
      <c r="J160" s="769">
        <v>53.07</v>
      </c>
      <c r="K160" s="769">
        <f t="shared" si="25"/>
        <v>7.9706048615036745E-2</v>
      </c>
      <c r="L160" s="769"/>
      <c r="M160" s="769"/>
      <c r="N160" s="789">
        <f>K160</f>
        <v>7.9706048615036745E-2</v>
      </c>
      <c r="O160" s="767">
        <f>(I160/D160)*1000</f>
        <v>0.10821912714500925</v>
      </c>
      <c r="P160" s="739">
        <f t="shared" si="18"/>
        <v>4.2300000000000013</v>
      </c>
      <c r="Q160" s="1050">
        <f t="shared" ref="Q160:Q223" si="26">IF(N160="None avaliable",0,1)</f>
        <v>1</v>
      </c>
    </row>
    <row r="161" spans="1:17" ht="15.5" x14ac:dyDescent="0.35">
      <c r="A161" s="766" t="s">
        <v>2080</v>
      </c>
      <c r="B161" s="760" t="s">
        <v>2435</v>
      </c>
      <c r="C161" s="761" t="s">
        <v>2446</v>
      </c>
      <c r="D161" s="763">
        <v>2966.6226011200001</v>
      </c>
      <c r="E161" s="763">
        <v>706.37066650000008</v>
      </c>
      <c r="F161" s="762">
        <v>4.3044014000000006</v>
      </c>
      <c r="G161" s="606">
        <v>4199.8099999999995</v>
      </c>
      <c r="H161" s="770" t="str">
        <f>B161</f>
        <v>EMR</v>
      </c>
      <c r="I161" s="769"/>
      <c r="J161" s="769"/>
      <c r="K161" s="769" t="str">
        <f t="shared" si="25"/>
        <v/>
      </c>
      <c r="L161" s="769"/>
      <c r="M161" s="769"/>
      <c r="N161" s="789" t="s">
        <v>2441</v>
      </c>
      <c r="O161" s="767">
        <f>VLOOKUP(H161,$B$2:$C$10,2,0)</f>
        <v>2.0793883206673902</v>
      </c>
      <c r="P161" s="739">
        <f t="shared" ref="P161:P224" si="27">(O161*D161)/1000</f>
        <v>6.1687603885968416</v>
      </c>
      <c r="Q161" s="1050">
        <f t="shared" si="26"/>
        <v>0</v>
      </c>
    </row>
    <row r="162" spans="1:17" ht="15.5" x14ac:dyDescent="0.35">
      <c r="A162" s="759" t="s">
        <v>1770</v>
      </c>
      <c r="B162" s="768" t="s">
        <v>2435</v>
      </c>
      <c r="C162" s="761" t="s">
        <v>2442</v>
      </c>
      <c r="D162" s="762">
        <v>7175.5563058699991</v>
      </c>
      <c r="E162" s="762">
        <v>37.889621730000002</v>
      </c>
      <c r="F162" s="763">
        <v>2.6871192499999994</v>
      </c>
      <c r="G162" s="606">
        <v>189380.51300000001</v>
      </c>
      <c r="H162" s="770" t="str">
        <f t="shared" ref="H162:H168" si="28">B162</f>
        <v>EMR</v>
      </c>
      <c r="I162" s="769"/>
      <c r="J162" s="769"/>
      <c r="K162" s="769" t="str">
        <f t="shared" si="25"/>
        <v/>
      </c>
      <c r="L162" s="769"/>
      <c r="M162" s="769"/>
      <c r="N162" s="789" t="s">
        <v>2441</v>
      </c>
      <c r="O162" s="765">
        <f>VLOOKUP(H162,$B$2:$C$10,2,0)</f>
        <v>2.0793883206673902</v>
      </c>
      <c r="P162" s="739">
        <f t="shared" si="27"/>
        <v>14.92076797671732</v>
      </c>
      <c r="Q162" s="1050">
        <f t="shared" si="26"/>
        <v>0</v>
      </c>
    </row>
    <row r="163" spans="1:17" ht="15.5" x14ac:dyDescent="0.35">
      <c r="A163" s="766" t="s">
        <v>2081</v>
      </c>
      <c r="B163" s="768" t="s">
        <v>2433</v>
      </c>
      <c r="C163" s="761" t="s">
        <v>2446</v>
      </c>
      <c r="D163" s="763">
        <v>31.902740889999997</v>
      </c>
      <c r="E163" s="763">
        <v>1498.6254882800004</v>
      </c>
      <c r="F163" s="762">
        <v>10.888307570000002</v>
      </c>
      <c r="G163" s="606">
        <v>21.288000000000004</v>
      </c>
      <c r="H163" s="770" t="str">
        <f t="shared" si="28"/>
        <v>WPR</v>
      </c>
      <c r="I163" s="769"/>
      <c r="J163" s="769"/>
      <c r="K163" s="769" t="str">
        <f t="shared" si="25"/>
        <v/>
      </c>
      <c r="L163" s="769"/>
      <c r="M163" s="769"/>
      <c r="N163" s="789" t="s">
        <v>2441</v>
      </c>
      <c r="O163" s="767">
        <f>VLOOKUP(H163,$B$2:$C$10,2,0)</f>
        <v>1.2084262985360623</v>
      </c>
      <c r="P163" s="739">
        <f t="shared" si="27"/>
        <v>3.8552111086857778E-2</v>
      </c>
      <c r="Q163" s="1050">
        <f t="shared" si="26"/>
        <v>0</v>
      </c>
    </row>
    <row r="164" spans="1:17" ht="15.5" x14ac:dyDescent="0.35">
      <c r="A164" s="766" t="s">
        <v>2082</v>
      </c>
      <c r="B164" s="768" t="s">
        <v>2424</v>
      </c>
      <c r="C164" s="761" t="s">
        <v>2446</v>
      </c>
      <c r="D164" s="763">
        <v>3682.5115179499999</v>
      </c>
      <c r="E164" s="763">
        <v>927.76025391000007</v>
      </c>
      <c r="F164" s="762">
        <v>6.8078675299999984</v>
      </c>
      <c r="G164" s="606">
        <v>3969.2490000000007</v>
      </c>
      <c r="H164" s="770" t="str">
        <f t="shared" si="28"/>
        <v>AMR</v>
      </c>
      <c r="I164" s="769"/>
      <c r="J164" s="769"/>
      <c r="K164" s="769" t="str">
        <f t="shared" si="25"/>
        <v/>
      </c>
      <c r="L164" s="769"/>
      <c r="M164" s="769"/>
      <c r="N164" s="789" t="s">
        <v>2441</v>
      </c>
      <c r="O164" s="767">
        <f>VLOOKUP(H164,$B$2:$C$10,2,0)</f>
        <v>1.7429565890762324</v>
      </c>
      <c r="P164" s="739">
        <f t="shared" si="27"/>
        <v>6.4184577145600707</v>
      </c>
      <c r="Q164" s="1050">
        <f t="shared" si="26"/>
        <v>0</v>
      </c>
    </row>
    <row r="165" spans="1:17" ht="15.5" x14ac:dyDescent="0.35">
      <c r="A165" s="759" t="s">
        <v>2083</v>
      </c>
      <c r="B165" s="760" t="s">
        <v>2433</v>
      </c>
      <c r="C165" s="761" t="s">
        <v>2442</v>
      </c>
      <c r="D165" s="762">
        <v>395.10687435000011</v>
      </c>
      <c r="E165" s="762">
        <v>49.888332370000001</v>
      </c>
      <c r="F165" s="763">
        <v>1.9144120199999997</v>
      </c>
      <c r="G165" s="606">
        <v>7919.8249999999998</v>
      </c>
      <c r="H165" s="770" t="str">
        <f t="shared" si="28"/>
        <v>WPR</v>
      </c>
      <c r="I165" s="769"/>
      <c r="J165" s="769"/>
      <c r="K165" s="769" t="str">
        <f t="shared" si="25"/>
        <v/>
      </c>
      <c r="L165" s="769"/>
      <c r="M165" s="769"/>
      <c r="N165" s="789" t="s">
        <v>2441</v>
      </c>
      <c r="O165" s="767">
        <f>VLOOKUP(H165,$B$2:$C$10,2,0)</f>
        <v>1.2084262985360623</v>
      </c>
      <c r="P165" s="739">
        <f t="shared" si="27"/>
        <v>0.47745753769692367</v>
      </c>
      <c r="Q165" s="1050">
        <f t="shared" si="26"/>
        <v>0</v>
      </c>
    </row>
    <row r="166" spans="1:17" ht="15.5" x14ac:dyDescent="0.35">
      <c r="A166" s="759" t="s">
        <v>2084</v>
      </c>
      <c r="B166" s="760" t="s">
        <v>2424</v>
      </c>
      <c r="C166" s="761" t="s">
        <v>2444</v>
      </c>
      <c r="D166" s="762">
        <v>2439.9871088200002</v>
      </c>
      <c r="E166" s="762">
        <v>367.51669312000001</v>
      </c>
      <c r="F166" s="763">
        <v>6.7469930599999985</v>
      </c>
      <c r="G166" s="606">
        <v>6639.1190000000006</v>
      </c>
      <c r="H166" s="770" t="str">
        <f t="shared" si="28"/>
        <v>AMR</v>
      </c>
      <c r="I166" s="769">
        <v>0.95</v>
      </c>
      <c r="J166" s="769">
        <v>0.81</v>
      </c>
      <c r="K166" s="769">
        <f t="shared" si="25"/>
        <v>1.1728395061728394</v>
      </c>
      <c r="L166" s="769"/>
      <c r="M166" s="769"/>
      <c r="N166" s="789">
        <f>K166</f>
        <v>1.1728395061728394</v>
      </c>
      <c r="O166" s="767">
        <f>(I166/D166)*1000</f>
        <v>0.38934631931700187</v>
      </c>
      <c r="P166" s="739">
        <f t="shared" si="27"/>
        <v>0.95</v>
      </c>
      <c r="Q166" s="1050">
        <f t="shared" si="26"/>
        <v>1</v>
      </c>
    </row>
    <row r="167" spans="1:17" ht="15.5" x14ac:dyDescent="0.35">
      <c r="A167" s="766" t="s">
        <v>2085</v>
      </c>
      <c r="B167" s="768" t="s">
        <v>2424</v>
      </c>
      <c r="C167" s="761" t="s">
        <v>2444</v>
      </c>
      <c r="D167" s="763">
        <v>9627.3668298299999</v>
      </c>
      <c r="E167" s="763">
        <v>306.83200073</v>
      </c>
      <c r="F167" s="762">
        <v>5.0258626900000003</v>
      </c>
      <c r="G167" s="606">
        <v>31376.671000000002</v>
      </c>
      <c r="H167" s="770" t="str">
        <f t="shared" si="28"/>
        <v>AMR</v>
      </c>
      <c r="I167" s="769">
        <v>4.3600000000000003</v>
      </c>
      <c r="J167" s="769">
        <v>6.36</v>
      </c>
      <c r="K167" s="769">
        <f t="shared" si="25"/>
        <v>0.68553459119496862</v>
      </c>
      <c r="L167" s="769"/>
      <c r="M167" s="769"/>
      <c r="N167" s="789">
        <f>K167</f>
        <v>0.68553459119496862</v>
      </c>
      <c r="O167" s="767">
        <f>(I167/D167)*1000</f>
        <v>0.45287564887324328</v>
      </c>
      <c r="P167" s="739">
        <f t="shared" si="27"/>
        <v>4.3600000000000003</v>
      </c>
      <c r="Q167" s="1050">
        <f t="shared" si="26"/>
        <v>1</v>
      </c>
    </row>
    <row r="168" spans="1:17" ht="15.5" x14ac:dyDescent="0.35">
      <c r="A168" s="766" t="s">
        <v>2086</v>
      </c>
      <c r="B168" s="768" t="s">
        <v>2433</v>
      </c>
      <c r="C168" s="761" t="s">
        <v>2442</v>
      </c>
      <c r="D168" s="763">
        <v>12651.837196510001</v>
      </c>
      <c r="E168" s="763">
        <v>124.38349915000001</v>
      </c>
      <c r="F168" s="762">
        <v>4.321368689999999</v>
      </c>
      <c r="G168" s="606">
        <v>101716.35900000001</v>
      </c>
      <c r="H168" s="770" t="str">
        <f t="shared" si="28"/>
        <v>WPR</v>
      </c>
      <c r="I168" s="769">
        <v>5.22</v>
      </c>
      <c r="J168" s="769">
        <v>9.34</v>
      </c>
      <c r="K168" s="769">
        <f t="shared" si="25"/>
        <v>0.5588865096359743</v>
      </c>
      <c r="L168" s="769"/>
      <c r="M168" s="769"/>
      <c r="N168" s="789">
        <f>K168</f>
        <v>0.5588865096359743</v>
      </c>
      <c r="O168" s="767">
        <f>(I168/D168)*1000</f>
        <v>0.41258829993796731</v>
      </c>
      <c r="P168" s="739">
        <f t="shared" si="27"/>
        <v>5.22</v>
      </c>
      <c r="Q168" s="1050">
        <f t="shared" si="26"/>
        <v>1</v>
      </c>
    </row>
    <row r="169" spans="1:17" ht="15.5" x14ac:dyDescent="0.35">
      <c r="A169" s="766" t="s">
        <v>2087</v>
      </c>
      <c r="B169" s="760" t="s">
        <v>2429</v>
      </c>
      <c r="C169" s="761" t="s">
        <v>2446</v>
      </c>
      <c r="D169" s="763">
        <v>30554.71547951</v>
      </c>
      <c r="E169" s="763">
        <v>803.95965576000015</v>
      </c>
      <c r="F169" s="762">
        <v>6.3979120299999996</v>
      </c>
      <c r="G169" s="606">
        <v>38005.614000000001</v>
      </c>
      <c r="H169" s="606" t="s">
        <v>2439</v>
      </c>
      <c r="I169" s="769">
        <v>13.2</v>
      </c>
      <c r="J169" s="769">
        <v>26.32</v>
      </c>
      <c r="K169" s="769">
        <f t="shared" si="25"/>
        <v>0.50151975683890571</v>
      </c>
      <c r="L169" s="769"/>
      <c r="M169" s="769"/>
      <c r="N169" s="789">
        <f>K169</f>
        <v>0.50151975683890571</v>
      </c>
      <c r="O169" s="767">
        <f>(I169/D169)*1000</f>
        <v>0.43201187747442527</v>
      </c>
      <c r="P169" s="739">
        <f t="shared" si="27"/>
        <v>13.199999999999998</v>
      </c>
      <c r="Q169" s="1050">
        <f t="shared" si="26"/>
        <v>1</v>
      </c>
    </row>
    <row r="170" spans="1:17" ht="15.5" x14ac:dyDescent="0.35">
      <c r="A170" s="759" t="s">
        <v>2088</v>
      </c>
      <c r="B170" s="768" t="s">
        <v>2429</v>
      </c>
      <c r="C170" s="761" t="s">
        <v>2446</v>
      </c>
      <c r="D170" s="762">
        <v>17891.675110560005</v>
      </c>
      <c r="E170" s="762">
        <v>1724.5284423799999</v>
      </c>
      <c r="F170" s="763">
        <v>8.9718446699999994</v>
      </c>
      <c r="G170" s="606">
        <v>10374.822</v>
      </c>
      <c r="H170" s="606" t="s">
        <v>2439</v>
      </c>
      <c r="I170" s="769">
        <v>4.84</v>
      </c>
      <c r="J170" s="769">
        <v>20.7</v>
      </c>
      <c r="K170" s="769">
        <f t="shared" si="25"/>
        <v>0.23381642512077294</v>
      </c>
      <c r="L170" s="769"/>
      <c r="M170" s="769"/>
      <c r="N170" s="789">
        <f>K170</f>
        <v>0.23381642512077294</v>
      </c>
      <c r="O170" s="767">
        <f>(I170/D170)*1000</f>
        <v>0.27051687279651865</v>
      </c>
      <c r="P170" s="739">
        <f t="shared" si="27"/>
        <v>4.84</v>
      </c>
      <c r="Q170" s="1050">
        <f t="shared" si="26"/>
        <v>1</v>
      </c>
    </row>
    <row r="171" spans="1:17" ht="15.5" x14ac:dyDescent="0.35">
      <c r="A171" s="766" t="s">
        <v>2090</v>
      </c>
      <c r="B171" s="760" t="s">
        <v>2435</v>
      </c>
      <c r="C171" s="761" t="s">
        <v>2446</v>
      </c>
      <c r="D171" s="763">
        <v>5042.2214406499997</v>
      </c>
      <c r="E171" s="763">
        <v>2031.8929443400004</v>
      </c>
      <c r="F171" s="762">
        <v>3.1174891000000002</v>
      </c>
      <c r="G171" s="606">
        <v>2481.5389999999998</v>
      </c>
      <c r="H171" s="770" t="str">
        <f>B171</f>
        <v>EMR</v>
      </c>
      <c r="I171" s="769"/>
      <c r="J171" s="769"/>
      <c r="K171" s="769" t="str">
        <f t="shared" si="25"/>
        <v/>
      </c>
      <c r="L171" s="769"/>
      <c r="M171" s="769"/>
      <c r="N171" s="789" t="s">
        <v>2441</v>
      </c>
      <c r="O171" s="767">
        <f>VLOOKUP(H171,$B$2:$C$10,2,0)</f>
        <v>2.0793883206673902</v>
      </c>
      <c r="P171" s="739">
        <f t="shared" si="27"/>
        <v>10.484736373906312</v>
      </c>
      <c r="Q171" s="1050">
        <f t="shared" si="26"/>
        <v>0</v>
      </c>
    </row>
    <row r="172" spans="1:17" ht="15.5" x14ac:dyDescent="0.35">
      <c r="A172" s="759" t="s">
        <v>2479</v>
      </c>
      <c r="B172" s="760" t="s">
        <v>2433</v>
      </c>
      <c r="C172" s="761" t="s">
        <v>2446</v>
      </c>
      <c r="D172" s="762">
        <v>97416.50123877998</v>
      </c>
      <c r="E172" s="762">
        <v>1925.4685058600001</v>
      </c>
      <c r="F172" s="763">
        <v>7.0450558700000014</v>
      </c>
      <c r="G172" s="606">
        <v>50593.661999999997</v>
      </c>
      <c r="H172" s="770" t="str">
        <f>B172</f>
        <v>WPR</v>
      </c>
      <c r="I172" s="769">
        <v>24.88</v>
      </c>
      <c r="J172" s="769">
        <v>26.19</v>
      </c>
      <c r="K172" s="769">
        <f t="shared" si="25"/>
        <v>0.94998090874379526</v>
      </c>
      <c r="L172" s="769"/>
      <c r="M172" s="769"/>
      <c r="N172" s="789">
        <f>K172</f>
        <v>0.94998090874379526</v>
      </c>
      <c r="O172" s="767">
        <f>(I172/D172)*1000</f>
        <v>0.25539820958069537</v>
      </c>
      <c r="P172" s="739">
        <f t="shared" si="27"/>
        <v>24.88</v>
      </c>
      <c r="Q172" s="1050">
        <f t="shared" si="26"/>
        <v>1</v>
      </c>
    </row>
    <row r="173" spans="1:17" ht="15.5" x14ac:dyDescent="0.35">
      <c r="A173" s="766" t="s">
        <v>2480</v>
      </c>
      <c r="B173" s="760" t="s">
        <v>2429</v>
      </c>
      <c r="C173" s="761" t="s">
        <v>2442</v>
      </c>
      <c r="D173" s="763">
        <v>662.8111948799999</v>
      </c>
      <c r="E173" s="763">
        <v>186.43643187999999</v>
      </c>
      <c r="F173" s="762">
        <v>8.5576353099999984</v>
      </c>
      <c r="G173" s="606">
        <v>3555.1590000000006</v>
      </c>
      <c r="H173" s="770" t="str">
        <f>B173</f>
        <v>EUR</v>
      </c>
      <c r="I173" s="769"/>
      <c r="J173" s="769"/>
      <c r="K173" s="769" t="str">
        <f t="shared" si="25"/>
        <v/>
      </c>
      <c r="L173" s="769"/>
      <c r="M173" s="769"/>
      <c r="N173" s="789" t="s">
        <v>2441</v>
      </c>
      <c r="O173" s="767">
        <f>VLOOKUP(H173,$B$2:$C$10,2,0)</f>
        <v>1.3809400770844993</v>
      </c>
      <c r="P173" s="739">
        <f t="shared" si="27"/>
        <v>0.91530254255005616</v>
      </c>
      <c r="Q173" s="1050">
        <f t="shared" si="26"/>
        <v>0</v>
      </c>
    </row>
    <row r="174" spans="1:17" ht="15.5" x14ac:dyDescent="0.35">
      <c r="A174" s="759" t="s">
        <v>2092</v>
      </c>
      <c r="B174" s="768" t="s">
        <v>2429</v>
      </c>
      <c r="C174" s="761" t="s">
        <v>2444</v>
      </c>
      <c r="D174" s="762">
        <v>8787.5810878199991</v>
      </c>
      <c r="E174" s="762">
        <v>442.24401855000008</v>
      </c>
      <c r="F174" s="763">
        <v>4.94268894</v>
      </c>
      <c r="G174" s="606">
        <v>19870.647000000001</v>
      </c>
      <c r="H174" s="606" t="s">
        <v>2431</v>
      </c>
      <c r="I174" s="769">
        <v>5.84</v>
      </c>
      <c r="J174" s="769">
        <v>9.33</v>
      </c>
      <c r="K174" s="769">
        <f t="shared" si="25"/>
        <v>0.62593783494105038</v>
      </c>
      <c r="L174" s="769"/>
      <c r="M174" s="769"/>
      <c r="N174" s="789">
        <f>K174</f>
        <v>0.62593783494105038</v>
      </c>
      <c r="O174" s="767">
        <f>(I174/D174)*1000</f>
        <v>0.66457423739674104</v>
      </c>
      <c r="P174" s="739">
        <f t="shared" si="27"/>
        <v>5.84</v>
      </c>
      <c r="Q174" s="1050">
        <f t="shared" si="26"/>
        <v>1</v>
      </c>
    </row>
    <row r="175" spans="1:17" ht="15.5" x14ac:dyDescent="0.35">
      <c r="A175" s="766" t="s">
        <v>2093</v>
      </c>
      <c r="B175" s="760" t="s">
        <v>2429</v>
      </c>
      <c r="C175" s="761" t="s">
        <v>2444</v>
      </c>
      <c r="D175" s="763">
        <v>72210.674657350013</v>
      </c>
      <c r="E175" s="763">
        <v>501.8533020000001</v>
      </c>
      <c r="F175" s="762">
        <v>5.2951707799999994</v>
      </c>
      <c r="G175" s="606">
        <v>143888.00400000002</v>
      </c>
      <c r="H175" s="770" t="str">
        <f>B175</f>
        <v>EUR</v>
      </c>
      <c r="I175" s="769">
        <v>219.64</v>
      </c>
      <c r="J175" s="769">
        <v>226.15</v>
      </c>
      <c r="K175" s="769">
        <f t="shared" si="25"/>
        <v>0.97121379615299575</v>
      </c>
      <c r="L175" s="769"/>
      <c r="M175" s="774">
        <v>76.058710000000005</v>
      </c>
      <c r="N175" s="789">
        <f>K175</f>
        <v>0.97121379615299575</v>
      </c>
      <c r="O175" s="767">
        <f>(M175/D175)*1000</f>
        <v>1.0532890097054135</v>
      </c>
      <c r="P175" s="739">
        <f t="shared" si="27"/>
        <v>76.058709999999991</v>
      </c>
      <c r="Q175" s="1050">
        <f t="shared" si="26"/>
        <v>1</v>
      </c>
    </row>
    <row r="176" spans="1:17" ht="15.5" x14ac:dyDescent="0.35">
      <c r="A176" s="766" t="s">
        <v>2094</v>
      </c>
      <c r="B176" s="760" t="s">
        <v>2418</v>
      </c>
      <c r="C176" s="761" t="s">
        <v>239</v>
      </c>
      <c r="D176" s="763">
        <v>540.07461711999997</v>
      </c>
      <c r="E176" s="763">
        <v>46.43984222000001</v>
      </c>
      <c r="F176" s="762">
        <v>6.52446985</v>
      </c>
      <c r="G176" s="606">
        <v>11629.553</v>
      </c>
      <c r="H176" s="770" t="str">
        <f t="shared" ref="H176:H188" si="29">B176</f>
        <v>AFR</v>
      </c>
      <c r="I176" s="769"/>
      <c r="J176" s="769"/>
      <c r="K176" s="769" t="str">
        <f t="shared" si="25"/>
        <v/>
      </c>
      <c r="L176" s="769"/>
      <c r="M176" s="769"/>
      <c r="N176" s="789" t="s">
        <v>2441</v>
      </c>
      <c r="O176" s="767">
        <f t="shared" ref="O176:O187" si="30">VLOOKUP(H176,$B$2:$C$10,2,0)</f>
        <v>0.78686047711281404</v>
      </c>
      <c r="P176" s="739">
        <f t="shared" si="27"/>
        <v>0.42496337090356356</v>
      </c>
      <c r="Q176" s="1050">
        <f t="shared" si="26"/>
        <v>0</v>
      </c>
    </row>
    <row r="177" spans="1:17" ht="15.5" x14ac:dyDescent="0.35">
      <c r="A177" s="759" t="s">
        <v>2096</v>
      </c>
      <c r="B177" s="760" t="s">
        <v>2424</v>
      </c>
      <c r="C177" s="761" t="s">
        <v>2446</v>
      </c>
      <c r="D177" s="762">
        <v>46.086718329999997</v>
      </c>
      <c r="E177" s="762">
        <v>848.9301147499998</v>
      </c>
      <c r="F177" s="763">
        <v>4.9222364399999998</v>
      </c>
      <c r="G177" s="606">
        <v>54.287999999999997</v>
      </c>
      <c r="H177" s="770" t="str">
        <f t="shared" si="29"/>
        <v>AMR</v>
      </c>
      <c r="I177" s="769"/>
      <c r="J177" s="769"/>
      <c r="K177" s="769" t="str">
        <f t="shared" si="25"/>
        <v/>
      </c>
      <c r="L177" s="769"/>
      <c r="M177" s="769"/>
      <c r="N177" s="789" t="s">
        <v>2441</v>
      </c>
      <c r="O177" s="767">
        <f t="shared" si="30"/>
        <v>1.7429565890762324</v>
      </c>
      <c r="P177" s="739">
        <f t="shared" si="27"/>
        <v>8.0327149382173876E-2</v>
      </c>
      <c r="Q177" s="1050">
        <f t="shared" si="26"/>
        <v>0</v>
      </c>
    </row>
    <row r="178" spans="1:17" ht="15.5" x14ac:dyDescent="0.35">
      <c r="A178" s="766" t="s">
        <v>2097</v>
      </c>
      <c r="B178" s="768" t="s">
        <v>2424</v>
      </c>
      <c r="C178" s="761" t="s">
        <v>2444</v>
      </c>
      <c r="D178" s="763">
        <v>78.849864670000017</v>
      </c>
      <c r="E178" s="763">
        <v>444.96160889000004</v>
      </c>
      <c r="F178" s="762">
        <v>4.8046631799999995</v>
      </c>
      <c r="G178" s="606">
        <v>177.20599999999999</v>
      </c>
      <c r="H178" s="770" t="str">
        <f t="shared" si="29"/>
        <v>AMR</v>
      </c>
      <c r="I178" s="769"/>
      <c r="J178" s="769"/>
      <c r="K178" s="769" t="str">
        <f t="shared" si="25"/>
        <v/>
      </c>
      <c r="L178" s="769"/>
      <c r="M178" s="769"/>
      <c r="N178" s="789" t="s">
        <v>2441</v>
      </c>
      <c r="O178" s="767">
        <f t="shared" si="30"/>
        <v>1.7429565890762324</v>
      </c>
      <c r="P178" s="739">
        <f t="shared" si="27"/>
        <v>0.13743189117434576</v>
      </c>
      <c r="Q178" s="1050">
        <f t="shared" si="26"/>
        <v>0</v>
      </c>
    </row>
    <row r="179" spans="1:17" ht="31" x14ac:dyDescent="0.35">
      <c r="A179" s="759" t="s">
        <v>2481</v>
      </c>
      <c r="B179" s="760" t="s">
        <v>2424</v>
      </c>
      <c r="C179" s="761" t="s">
        <v>2444</v>
      </c>
      <c r="D179" s="762">
        <v>32.218626610000001</v>
      </c>
      <c r="E179" s="762">
        <v>294.35501098999998</v>
      </c>
      <c r="F179" s="763">
        <v>4.2642297700000009</v>
      </c>
      <c r="G179" s="606">
        <v>109.455</v>
      </c>
      <c r="H179" s="770" t="str">
        <f t="shared" si="29"/>
        <v>AMR</v>
      </c>
      <c r="I179" s="769"/>
      <c r="J179" s="769"/>
      <c r="K179" s="769" t="str">
        <f t="shared" si="25"/>
        <v/>
      </c>
      <c r="L179" s="769"/>
      <c r="M179" s="769"/>
      <c r="N179" s="789" t="s">
        <v>2441</v>
      </c>
      <c r="O179" s="767">
        <f t="shared" si="30"/>
        <v>1.7429565890762324</v>
      </c>
      <c r="P179" s="739">
        <f t="shared" si="27"/>
        <v>5.6155667540886342E-2</v>
      </c>
      <c r="Q179" s="1050">
        <f t="shared" si="26"/>
        <v>0</v>
      </c>
    </row>
    <row r="180" spans="1:17" ht="15.5" x14ac:dyDescent="0.35">
      <c r="A180" s="766" t="s">
        <v>2101</v>
      </c>
      <c r="B180" s="768" t="s">
        <v>2433</v>
      </c>
      <c r="C180" s="761" t="s">
        <v>2444</v>
      </c>
      <c r="D180" s="763">
        <v>43.18843128999999</v>
      </c>
      <c r="E180" s="763">
        <v>222.89761353000003</v>
      </c>
      <c r="F180" s="762">
        <v>5.6747097999999996</v>
      </c>
      <c r="G180" s="606">
        <v>193.75900000000001</v>
      </c>
      <c r="H180" s="770" t="str">
        <f t="shared" si="29"/>
        <v>WPR</v>
      </c>
      <c r="I180" s="769"/>
      <c r="J180" s="769"/>
      <c r="K180" s="769" t="str">
        <f t="shared" si="25"/>
        <v/>
      </c>
      <c r="L180" s="769"/>
      <c r="M180" s="769"/>
      <c r="N180" s="789" t="s">
        <v>2441</v>
      </c>
      <c r="O180" s="767">
        <f t="shared" si="30"/>
        <v>1.2084262985360623</v>
      </c>
      <c r="P180" s="739">
        <f t="shared" si="27"/>
        <v>5.2190036163353742E-2</v>
      </c>
      <c r="Q180" s="1050">
        <f t="shared" si="26"/>
        <v>0</v>
      </c>
    </row>
    <row r="181" spans="1:17" ht="15.5" x14ac:dyDescent="0.35">
      <c r="A181" s="759" t="s">
        <v>2102</v>
      </c>
      <c r="B181" s="768" t="s">
        <v>2429</v>
      </c>
      <c r="C181" s="761" t="s">
        <v>2446</v>
      </c>
      <c r="D181" s="762">
        <v>104.27861772000001</v>
      </c>
      <c r="E181" s="762">
        <v>3163.79296875</v>
      </c>
      <c r="F181" s="763">
        <v>7.3513484000000009</v>
      </c>
      <c r="G181" s="606">
        <v>32.96</v>
      </c>
      <c r="H181" s="770" t="str">
        <f t="shared" si="29"/>
        <v>EUR</v>
      </c>
      <c r="I181" s="769"/>
      <c r="J181" s="769"/>
      <c r="K181" s="769" t="str">
        <f t="shared" si="25"/>
        <v/>
      </c>
      <c r="L181" s="769"/>
      <c r="M181" s="769"/>
      <c r="N181" s="789" t="s">
        <v>2441</v>
      </c>
      <c r="O181" s="767">
        <f t="shared" si="30"/>
        <v>1.3809400770844993</v>
      </c>
      <c r="P181" s="739">
        <f t="shared" si="27"/>
        <v>0.14400252239252184</v>
      </c>
      <c r="Q181" s="1050">
        <f t="shared" si="26"/>
        <v>0</v>
      </c>
    </row>
    <row r="182" spans="1:17" ht="15.5" x14ac:dyDescent="0.35">
      <c r="A182" s="759" t="s">
        <v>2482</v>
      </c>
      <c r="B182" s="768" t="s">
        <v>2418</v>
      </c>
      <c r="C182" s="761" t="s">
        <v>2442</v>
      </c>
      <c r="D182" s="762">
        <v>16.99643335</v>
      </c>
      <c r="E182" s="762">
        <v>86.914718629999996</v>
      </c>
      <c r="F182" s="763">
        <v>5.3867855100000002</v>
      </c>
      <c r="G182" s="606">
        <v>195.553</v>
      </c>
      <c r="H182" s="770" t="str">
        <f t="shared" si="29"/>
        <v>AFR</v>
      </c>
      <c r="I182" s="769"/>
      <c r="J182" s="769"/>
      <c r="K182" s="769" t="str">
        <f t="shared" si="25"/>
        <v/>
      </c>
      <c r="L182" s="769"/>
      <c r="M182" s="769"/>
      <c r="N182" s="789" t="s">
        <v>2441</v>
      </c>
      <c r="O182" s="767">
        <f t="shared" si="30"/>
        <v>0.78686047711281404</v>
      </c>
      <c r="P182" s="739">
        <f t="shared" si="27"/>
        <v>1.3373821654997144E-2</v>
      </c>
      <c r="Q182" s="1050">
        <f t="shared" si="26"/>
        <v>0</v>
      </c>
    </row>
    <row r="183" spans="1:17" ht="15.5" x14ac:dyDescent="0.35">
      <c r="A183" s="759" t="s">
        <v>2104</v>
      </c>
      <c r="B183" s="768" t="s">
        <v>2435</v>
      </c>
      <c r="C183" s="761" t="s">
        <v>2446</v>
      </c>
      <c r="D183" s="762">
        <v>39245.333333329996</v>
      </c>
      <c r="E183" s="762">
        <v>1243.6274414100001</v>
      </c>
      <c r="F183" s="763">
        <v>5.9983448999999993</v>
      </c>
      <c r="G183" s="606">
        <v>31557.144</v>
      </c>
      <c r="H183" s="770" t="str">
        <f t="shared" si="29"/>
        <v>EMR</v>
      </c>
      <c r="I183" s="769"/>
      <c r="J183" s="769"/>
      <c r="K183" s="769" t="str">
        <f t="shared" si="25"/>
        <v/>
      </c>
      <c r="L183" s="769"/>
      <c r="M183" s="769"/>
      <c r="N183" s="789" t="s">
        <v>2441</v>
      </c>
      <c r="O183" s="767">
        <f t="shared" si="30"/>
        <v>2.0793883206673902</v>
      </c>
      <c r="P183" s="739">
        <f t="shared" si="27"/>
        <v>81.606287774025006</v>
      </c>
      <c r="Q183" s="1050">
        <f t="shared" si="26"/>
        <v>0</v>
      </c>
    </row>
    <row r="184" spans="1:17" ht="15.5" x14ac:dyDescent="0.35">
      <c r="A184" s="766" t="s">
        <v>2105</v>
      </c>
      <c r="B184" s="760" t="s">
        <v>2418</v>
      </c>
      <c r="C184" s="761" t="s">
        <v>239</v>
      </c>
      <c r="D184" s="763">
        <v>778.67892118999998</v>
      </c>
      <c r="E184" s="763">
        <v>51.991672519999995</v>
      </c>
      <c r="F184" s="762">
        <v>4.382573129999999</v>
      </c>
      <c r="G184" s="606">
        <v>14976.994000000001</v>
      </c>
      <c r="H184" s="770" t="str">
        <f t="shared" si="29"/>
        <v>AFR</v>
      </c>
      <c r="I184" s="769"/>
      <c r="J184" s="769"/>
      <c r="K184" s="769" t="str">
        <f t="shared" si="25"/>
        <v/>
      </c>
      <c r="L184" s="769"/>
      <c r="M184" s="769"/>
      <c r="N184" s="789" t="s">
        <v>2441</v>
      </c>
      <c r="O184" s="767">
        <f t="shared" si="30"/>
        <v>0.78686047711281404</v>
      </c>
      <c r="P184" s="739">
        <f t="shared" si="27"/>
        <v>0.61271166744525474</v>
      </c>
      <c r="Q184" s="1050">
        <f t="shared" si="26"/>
        <v>0</v>
      </c>
    </row>
    <row r="185" spans="1:17" ht="15.5" x14ac:dyDescent="0.35">
      <c r="A185" s="766" t="s">
        <v>2106</v>
      </c>
      <c r="B185" s="760" t="s">
        <v>2429</v>
      </c>
      <c r="C185" s="761" t="s">
        <v>2444</v>
      </c>
      <c r="D185" s="763">
        <v>3494.9580465999998</v>
      </c>
      <c r="E185" s="763">
        <v>491.25177001999998</v>
      </c>
      <c r="F185" s="762">
        <v>8.81929111</v>
      </c>
      <c r="G185" s="606">
        <v>7114.3930000000009</v>
      </c>
      <c r="H185" s="770" t="str">
        <f t="shared" si="29"/>
        <v>EUR</v>
      </c>
      <c r="I185" s="769"/>
      <c r="J185" s="769"/>
      <c r="K185" s="769" t="str">
        <f t="shared" si="25"/>
        <v/>
      </c>
      <c r="L185" s="769"/>
      <c r="M185" s="769"/>
      <c r="N185" s="789" t="s">
        <v>2441</v>
      </c>
      <c r="O185" s="767">
        <f t="shared" si="30"/>
        <v>1.3809400770844993</v>
      </c>
      <c r="P185" s="739">
        <f t="shared" si="27"/>
        <v>4.8263276342788952</v>
      </c>
      <c r="Q185" s="1050">
        <f t="shared" si="26"/>
        <v>0</v>
      </c>
    </row>
    <row r="186" spans="1:17" ht="15.5" x14ac:dyDescent="0.35">
      <c r="A186" s="759" t="s">
        <v>2107</v>
      </c>
      <c r="B186" s="768" t="s">
        <v>2418</v>
      </c>
      <c r="C186" s="761" t="s">
        <v>2446</v>
      </c>
      <c r="D186" s="762">
        <v>63.203216399999995</v>
      </c>
      <c r="E186" s="762">
        <v>674.22515868999983</v>
      </c>
      <c r="F186" s="763">
        <v>4.5882382400000008</v>
      </c>
      <c r="G186" s="606">
        <v>93.742000000000004</v>
      </c>
      <c r="H186" s="770" t="str">
        <f t="shared" si="29"/>
        <v>AFR</v>
      </c>
      <c r="I186" s="769"/>
      <c r="J186" s="769"/>
      <c r="K186" s="769" t="str">
        <f t="shared" si="25"/>
        <v/>
      </c>
      <c r="L186" s="769"/>
      <c r="M186" s="769"/>
      <c r="N186" s="789" t="s">
        <v>2441</v>
      </c>
      <c r="O186" s="767">
        <f t="shared" si="30"/>
        <v>0.78686047711281404</v>
      </c>
      <c r="P186" s="739">
        <f t="shared" si="27"/>
        <v>4.9732113011568428E-2</v>
      </c>
      <c r="Q186" s="1050">
        <f t="shared" si="26"/>
        <v>0</v>
      </c>
    </row>
    <row r="187" spans="1:17" ht="15.5" x14ac:dyDescent="0.35">
      <c r="A187" s="766" t="s">
        <v>2108</v>
      </c>
      <c r="B187" s="760" t="s">
        <v>2418</v>
      </c>
      <c r="C187" s="761" t="s">
        <v>239</v>
      </c>
      <c r="D187" s="763">
        <v>867.17331826999998</v>
      </c>
      <c r="E187" s="763">
        <v>119.82456207</v>
      </c>
      <c r="F187" s="762">
        <v>20.413413999999996</v>
      </c>
      <c r="G187" s="606">
        <v>7237.0249999999996</v>
      </c>
      <c r="H187" s="770" t="str">
        <f t="shared" si="29"/>
        <v>AFR</v>
      </c>
      <c r="I187" s="769"/>
      <c r="J187" s="769"/>
      <c r="K187" s="769" t="str">
        <f t="shared" si="25"/>
        <v/>
      </c>
      <c r="L187" s="769"/>
      <c r="M187" s="769"/>
      <c r="N187" s="789" t="s">
        <v>2441</v>
      </c>
      <c r="O187" s="767">
        <f t="shared" si="30"/>
        <v>0.78686047711281404</v>
      </c>
      <c r="P187" s="739">
        <f t="shared" si="27"/>
        <v>0.68234441095343434</v>
      </c>
      <c r="Q187" s="1050">
        <f t="shared" si="26"/>
        <v>0</v>
      </c>
    </row>
    <row r="188" spans="1:17" ht="15.5" x14ac:dyDescent="0.35">
      <c r="A188" s="759" t="s">
        <v>2109</v>
      </c>
      <c r="B188" s="760" t="s">
        <v>2433</v>
      </c>
      <c r="C188" s="761" t="s">
        <v>2446</v>
      </c>
      <c r="D188" s="762">
        <v>12876.487110910002</v>
      </c>
      <c r="E188" s="762">
        <v>2326.2651367200006</v>
      </c>
      <c r="F188" s="763">
        <v>4.20450926</v>
      </c>
      <c r="G188" s="606">
        <v>5535.2619999999997</v>
      </c>
      <c r="H188" s="770" t="str">
        <f t="shared" si="29"/>
        <v>WPR</v>
      </c>
      <c r="I188" s="769">
        <v>8.6</v>
      </c>
      <c r="J188" s="769">
        <v>21.05</v>
      </c>
      <c r="K188" s="769">
        <f t="shared" si="25"/>
        <v>0.40855106888361042</v>
      </c>
      <c r="L188" s="769"/>
      <c r="M188" s="769"/>
      <c r="N188" s="789">
        <f>K188</f>
        <v>0.40855106888361042</v>
      </c>
      <c r="O188" s="767">
        <f>(I188/D188)*1000</f>
        <v>0.6678840219327663</v>
      </c>
      <c r="P188" s="739">
        <f t="shared" si="27"/>
        <v>8.5999999999999979</v>
      </c>
      <c r="Q188" s="1050">
        <f t="shared" si="26"/>
        <v>1</v>
      </c>
    </row>
    <row r="189" spans="1:17" ht="15.5" x14ac:dyDescent="0.35">
      <c r="A189" s="759" t="s">
        <v>2483</v>
      </c>
      <c r="B189" s="768" t="s">
        <v>2429</v>
      </c>
      <c r="C189" s="761" t="s">
        <v>2446</v>
      </c>
      <c r="D189" s="762">
        <v>6009.1952722699998</v>
      </c>
      <c r="E189" s="762">
        <v>1108.4317627</v>
      </c>
      <c r="F189" s="763">
        <v>6.8465576200000005</v>
      </c>
      <c r="G189" s="606">
        <v>5421.3490000000002</v>
      </c>
      <c r="H189" s="606" t="s">
        <v>2439</v>
      </c>
      <c r="I189" s="769">
        <v>6.92</v>
      </c>
      <c r="J189" s="769">
        <v>5.87</v>
      </c>
      <c r="K189" s="769">
        <f t="shared" si="25"/>
        <v>1.1788756388415673</v>
      </c>
      <c r="L189" s="769"/>
      <c r="M189" s="769"/>
      <c r="N189" s="789">
        <f>K189</f>
        <v>1.1788756388415673</v>
      </c>
      <c r="O189" s="767">
        <f>(I189/D189)*1000</f>
        <v>1.1515685023472269</v>
      </c>
      <c r="P189" s="739">
        <f t="shared" si="27"/>
        <v>6.92</v>
      </c>
      <c r="Q189" s="1050">
        <f t="shared" si="26"/>
        <v>1</v>
      </c>
    </row>
    <row r="190" spans="1:17" ht="15.5" x14ac:dyDescent="0.35">
      <c r="A190" s="766" t="s">
        <v>2112</v>
      </c>
      <c r="B190" s="760" t="s">
        <v>2429</v>
      </c>
      <c r="C190" s="761" t="s">
        <v>2446</v>
      </c>
      <c r="D190" s="763">
        <v>3661.9021159900003</v>
      </c>
      <c r="E190" s="763">
        <v>1775.1458740200003</v>
      </c>
      <c r="F190" s="762">
        <v>8.4959001500000007</v>
      </c>
      <c r="G190" s="606">
        <v>2062.8739999999998</v>
      </c>
      <c r="H190" s="606" t="s">
        <v>2439</v>
      </c>
      <c r="I190" s="769">
        <v>0.88</v>
      </c>
      <c r="J190" s="769">
        <v>3.68</v>
      </c>
      <c r="K190" s="769">
        <f t="shared" si="25"/>
        <v>0.23913043478260868</v>
      </c>
      <c r="L190" s="769"/>
      <c r="M190" s="769"/>
      <c r="N190" s="789">
        <f>K190</f>
        <v>0.23913043478260868</v>
      </c>
      <c r="O190" s="767">
        <f>(I190/D190)*1000</f>
        <v>0.24031226726607649</v>
      </c>
      <c r="P190" s="739">
        <f t="shared" si="27"/>
        <v>0.88</v>
      </c>
      <c r="Q190" s="1050">
        <f t="shared" si="26"/>
        <v>1</v>
      </c>
    </row>
    <row r="191" spans="1:17" ht="15.5" x14ac:dyDescent="0.35">
      <c r="A191" s="766" t="s">
        <v>2113</v>
      </c>
      <c r="B191" s="768" t="s">
        <v>2433</v>
      </c>
      <c r="C191" s="761" t="s">
        <v>2442</v>
      </c>
      <c r="D191" s="763">
        <v>60.605964130000004</v>
      </c>
      <c r="E191" s="763">
        <v>103.1622467</v>
      </c>
      <c r="F191" s="762">
        <v>5.2486853600000014</v>
      </c>
      <c r="G191" s="606">
        <v>587.48199999999997</v>
      </c>
      <c r="H191" s="770" t="str">
        <f>B191</f>
        <v>WPR</v>
      </c>
      <c r="I191" s="769"/>
      <c r="J191" s="769"/>
      <c r="K191" s="769" t="str">
        <f t="shared" si="25"/>
        <v/>
      </c>
      <c r="L191" s="769"/>
      <c r="M191" s="769"/>
      <c r="N191" s="789" t="s">
        <v>2441</v>
      </c>
      <c r="O191" s="767">
        <f>VLOOKUP(H191,$B$2:$C$10,2,0)</f>
        <v>1.2084262985360623</v>
      </c>
      <c r="P191" s="739">
        <f t="shared" si="27"/>
        <v>7.3237840902825271E-2</v>
      </c>
      <c r="Q191" s="1050">
        <f t="shared" si="26"/>
        <v>0</v>
      </c>
    </row>
    <row r="192" spans="1:17" ht="15.5" x14ac:dyDescent="0.35">
      <c r="A192" s="766" t="s">
        <v>2114</v>
      </c>
      <c r="B192" s="768" t="s">
        <v>2418</v>
      </c>
      <c r="C192" s="761"/>
      <c r="D192" s="763"/>
      <c r="E192" s="763"/>
      <c r="F192" s="762"/>
      <c r="G192" s="606"/>
      <c r="H192" s="770" t="str">
        <f>B192</f>
        <v>AFR</v>
      </c>
      <c r="I192" s="769"/>
      <c r="J192" s="769"/>
      <c r="K192" s="769" t="str">
        <f t="shared" si="25"/>
        <v/>
      </c>
      <c r="L192" s="769"/>
      <c r="M192" s="769"/>
      <c r="N192" s="789" t="s">
        <v>2441</v>
      </c>
      <c r="O192" s="767">
        <f>VLOOKUP(H192,$B$2:$C$10,2,0)</f>
        <v>0.78686047711281404</v>
      </c>
      <c r="P192" s="739">
        <f t="shared" si="27"/>
        <v>0</v>
      </c>
      <c r="Q192" s="1050">
        <f t="shared" si="26"/>
        <v>0</v>
      </c>
    </row>
    <row r="193" spans="1:17" ht="15.5" x14ac:dyDescent="0.35">
      <c r="A193" s="759" t="s">
        <v>2115</v>
      </c>
      <c r="B193" s="768" t="s">
        <v>2418</v>
      </c>
      <c r="C193" s="761" t="s">
        <v>2444</v>
      </c>
      <c r="D193" s="762">
        <v>26030.941915500007</v>
      </c>
      <c r="E193" s="762">
        <v>470.79696654999998</v>
      </c>
      <c r="F193" s="763">
        <v>8.2009096100000001</v>
      </c>
      <c r="G193" s="606">
        <v>55291.224999999999</v>
      </c>
      <c r="H193" s="770" t="str">
        <f>B193</f>
        <v>AFR</v>
      </c>
      <c r="I193" s="769">
        <v>15.93</v>
      </c>
      <c r="J193" s="769">
        <v>16.329999999999998</v>
      </c>
      <c r="K193" s="769">
        <f t="shared" si="25"/>
        <v>0.97550520514390704</v>
      </c>
      <c r="L193" s="769"/>
      <c r="M193" s="769"/>
      <c r="N193" s="789">
        <f>K193</f>
        <v>0.97550520514390704</v>
      </c>
      <c r="O193" s="767">
        <f>(I193/D193)*1000</f>
        <v>0.61196402541678874</v>
      </c>
      <c r="P193" s="739">
        <f t="shared" si="27"/>
        <v>15.929999999999998</v>
      </c>
      <c r="Q193" s="1050">
        <f t="shared" si="26"/>
        <v>1</v>
      </c>
    </row>
    <row r="194" spans="1:17" ht="15.5" x14ac:dyDescent="0.35">
      <c r="A194" s="766" t="s">
        <v>2116</v>
      </c>
      <c r="B194" s="768" t="s">
        <v>2418</v>
      </c>
      <c r="C194" s="761"/>
      <c r="D194" s="763"/>
      <c r="E194" s="763"/>
      <c r="F194" s="762"/>
      <c r="G194" s="606"/>
      <c r="H194" s="770" t="str">
        <f>B194</f>
        <v>AFR</v>
      </c>
      <c r="I194" s="769"/>
      <c r="J194" s="769"/>
      <c r="K194" s="769" t="str">
        <f t="shared" si="25"/>
        <v/>
      </c>
      <c r="L194" s="769"/>
      <c r="M194" s="769"/>
      <c r="N194" s="789" t="s">
        <v>2441</v>
      </c>
      <c r="O194" s="767">
        <f>VLOOKUP(H194,$B$2:$C$10,2,0)</f>
        <v>0.78686047711281404</v>
      </c>
      <c r="P194" s="739">
        <f t="shared" si="27"/>
        <v>0</v>
      </c>
      <c r="Q194" s="1050">
        <f t="shared" si="26"/>
        <v>0</v>
      </c>
    </row>
    <row r="195" spans="1:17" ht="15.5" x14ac:dyDescent="0.35">
      <c r="A195" s="759" t="s">
        <v>2117</v>
      </c>
      <c r="B195" s="768" t="s">
        <v>2429</v>
      </c>
      <c r="C195" s="761" t="s">
        <v>2446</v>
      </c>
      <c r="D195" s="762">
        <v>109227.54611222001</v>
      </c>
      <c r="E195" s="762">
        <v>2351.5300293</v>
      </c>
      <c r="F195" s="763">
        <v>9.1092481599999999</v>
      </c>
      <c r="G195" s="606">
        <v>46449.565000000002</v>
      </c>
      <c r="H195" s="606" t="s">
        <v>2439</v>
      </c>
      <c r="I195" s="769">
        <v>31.32</v>
      </c>
      <c r="J195" s="769">
        <v>112.26</v>
      </c>
      <c r="K195" s="769">
        <f t="shared" si="25"/>
        <v>0.27899518973810794</v>
      </c>
      <c r="L195" s="769"/>
      <c r="M195" s="769"/>
      <c r="N195" s="789">
        <f>K195</f>
        <v>0.27899518973810794</v>
      </c>
      <c r="O195" s="767">
        <f>(I195/D195)*1000</f>
        <v>0.28674085535000426</v>
      </c>
      <c r="P195" s="739">
        <f t="shared" si="27"/>
        <v>31.319999999999997</v>
      </c>
      <c r="Q195" s="1050">
        <f t="shared" si="26"/>
        <v>1</v>
      </c>
    </row>
    <row r="196" spans="1:17" ht="15.5" x14ac:dyDescent="0.35">
      <c r="A196" s="759" t="s">
        <v>2118</v>
      </c>
      <c r="B196" s="760" t="s">
        <v>2427</v>
      </c>
      <c r="C196" s="761" t="s">
        <v>2442</v>
      </c>
      <c r="D196" s="762">
        <v>3135.4343435799992</v>
      </c>
      <c r="E196" s="762">
        <v>151.36758422999998</v>
      </c>
      <c r="F196" s="763">
        <v>3.8899209500000005</v>
      </c>
      <c r="G196" s="606">
        <v>20714.04</v>
      </c>
      <c r="H196" s="770" t="str">
        <f>B196</f>
        <v>SEAR</v>
      </c>
      <c r="I196" s="769"/>
      <c r="J196" s="769"/>
      <c r="K196" s="769" t="str">
        <f t="shared" si="25"/>
        <v/>
      </c>
      <c r="L196" s="769"/>
      <c r="M196" s="769"/>
      <c r="N196" s="789" t="s">
        <v>2441</v>
      </c>
      <c r="O196" s="767">
        <f>VLOOKUP(H196,$B$2:$C$10,2,0)</f>
        <v>1.7892275289669113</v>
      </c>
      <c r="P196" s="739">
        <f t="shared" si="27"/>
        <v>5.6100054428016319</v>
      </c>
      <c r="Q196" s="1050">
        <f t="shared" si="26"/>
        <v>0</v>
      </c>
    </row>
    <row r="197" spans="1:17" ht="15.5" x14ac:dyDescent="0.35">
      <c r="A197" s="759" t="s">
        <v>2119</v>
      </c>
      <c r="B197" s="760" t="s">
        <v>2435</v>
      </c>
      <c r="C197" s="761" t="s">
        <v>2442</v>
      </c>
      <c r="D197" s="762">
        <v>6107.1413106800001</v>
      </c>
      <c r="E197" s="762">
        <v>158.02040100000002</v>
      </c>
      <c r="F197" s="763">
        <v>7.18278646</v>
      </c>
      <c r="G197" s="606">
        <v>38647.803</v>
      </c>
      <c r="H197" s="770" t="str">
        <f>B197</f>
        <v>EMR</v>
      </c>
      <c r="I197" s="769"/>
      <c r="J197" s="769"/>
      <c r="K197" s="769" t="str">
        <f t="shared" si="25"/>
        <v/>
      </c>
      <c r="L197" s="769"/>
      <c r="M197" s="769"/>
      <c r="N197" s="789" t="s">
        <v>2441</v>
      </c>
      <c r="O197" s="767">
        <f>VLOOKUP(H197,$B$2:$C$10,2,0)</f>
        <v>2.0793883206673902</v>
      </c>
      <c r="P197" s="739">
        <f t="shared" si="27"/>
        <v>12.699118314093329</v>
      </c>
      <c r="Q197" s="1050">
        <f t="shared" si="26"/>
        <v>0</v>
      </c>
    </row>
    <row r="198" spans="1:17" ht="15.5" x14ac:dyDescent="0.35">
      <c r="A198" s="766" t="s">
        <v>2120</v>
      </c>
      <c r="B198" s="768" t="s">
        <v>2424</v>
      </c>
      <c r="C198" s="761" t="s">
        <v>2444</v>
      </c>
      <c r="D198" s="763">
        <v>297.74209072999997</v>
      </c>
      <c r="E198" s="763">
        <v>538.21002196999996</v>
      </c>
      <c r="F198" s="762">
        <v>6.2192668900000019</v>
      </c>
      <c r="G198" s="606">
        <v>553.20799999999997</v>
      </c>
      <c r="H198" s="770" t="str">
        <f>B198</f>
        <v>AMR</v>
      </c>
      <c r="I198" s="769"/>
      <c r="J198" s="769"/>
      <c r="K198" s="769" t="str">
        <f t="shared" si="25"/>
        <v/>
      </c>
      <c r="L198" s="769"/>
      <c r="M198" s="769"/>
      <c r="N198" s="789" t="s">
        <v>2441</v>
      </c>
      <c r="O198" s="767">
        <f>VLOOKUP(H198,$B$2:$C$10,2,0)</f>
        <v>1.7429565890762324</v>
      </c>
      <c r="P198" s="739">
        <f t="shared" si="27"/>
        <v>0.5189515388831869</v>
      </c>
      <c r="Q198" s="1050">
        <f t="shared" si="26"/>
        <v>0</v>
      </c>
    </row>
    <row r="199" spans="1:17" ht="15.5" x14ac:dyDescent="0.35">
      <c r="A199" s="766" t="s">
        <v>2121</v>
      </c>
      <c r="B199" s="760" t="s">
        <v>2429</v>
      </c>
      <c r="C199" s="761" t="s">
        <v>2446</v>
      </c>
      <c r="D199" s="763">
        <v>54811.46591856001</v>
      </c>
      <c r="E199" s="763">
        <v>5623.2143554699996</v>
      </c>
      <c r="F199" s="762">
        <v>11.003719329999999</v>
      </c>
      <c r="G199" s="606">
        <v>9747.3549999999996</v>
      </c>
      <c r="H199" s="606" t="s">
        <v>2439</v>
      </c>
      <c r="I199" s="769">
        <v>5.71</v>
      </c>
      <c r="J199" s="769">
        <v>76.2</v>
      </c>
      <c r="K199" s="769">
        <f t="shared" si="25"/>
        <v>7.4934383202099733E-2</v>
      </c>
      <c r="L199" s="769"/>
      <c r="M199" s="769"/>
      <c r="N199" s="789">
        <f>K199</f>
        <v>7.4934383202099733E-2</v>
      </c>
      <c r="O199" s="767">
        <f>(I199/D199)*1000</f>
        <v>0.10417528347962876</v>
      </c>
      <c r="P199" s="739">
        <f t="shared" si="27"/>
        <v>5.7099999999999991</v>
      </c>
      <c r="Q199" s="1050">
        <f t="shared" si="26"/>
        <v>1</v>
      </c>
    </row>
    <row r="200" spans="1:17" ht="15.5" x14ac:dyDescent="0.35">
      <c r="A200" s="759" t="s">
        <v>2122</v>
      </c>
      <c r="B200" s="768" t="s">
        <v>2429</v>
      </c>
      <c r="C200" s="761" t="s">
        <v>2446</v>
      </c>
      <c r="D200" s="762">
        <v>80793.365621309989</v>
      </c>
      <c r="E200" s="762">
        <v>9807.7988281300022</v>
      </c>
      <c r="F200" s="763">
        <v>11.884304050000001</v>
      </c>
      <c r="G200" s="606">
        <v>8237.6660000000011</v>
      </c>
      <c r="H200" s="770" t="str">
        <f>B200</f>
        <v>EUR</v>
      </c>
      <c r="I200" s="769">
        <v>6.3</v>
      </c>
      <c r="J200" s="769">
        <v>63.49</v>
      </c>
      <c r="K200" s="769">
        <f t="shared" si="25"/>
        <v>9.9228224917309801E-2</v>
      </c>
      <c r="L200" s="769"/>
      <c r="M200" s="769"/>
      <c r="N200" s="789">
        <f>K200</f>
        <v>9.9228224917309801E-2</v>
      </c>
      <c r="O200" s="767">
        <f>(I200/D200)*1000</f>
        <v>7.7976699591015886E-2</v>
      </c>
      <c r="P200" s="739">
        <f t="shared" si="27"/>
        <v>6.3</v>
      </c>
      <c r="Q200" s="1050">
        <f t="shared" si="26"/>
        <v>1</v>
      </c>
    </row>
    <row r="201" spans="1:17" ht="15.5" x14ac:dyDescent="0.35">
      <c r="A201" s="766" t="s">
        <v>1794</v>
      </c>
      <c r="B201" s="768" t="s">
        <v>2435</v>
      </c>
      <c r="C201" s="761"/>
      <c r="D201" s="763"/>
      <c r="E201" s="763"/>
      <c r="F201" s="762"/>
      <c r="G201" s="606"/>
      <c r="H201" s="770" t="str">
        <f t="shared" ref="H201:H210" si="31">B201</f>
        <v>EMR</v>
      </c>
      <c r="I201" s="769"/>
      <c r="J201" s="769"/>
      <c r="K201" s="769" t="str">
        <f t="shared" si="25"/>
        <v/>
      </c>
      <c r="L201" s="769"/>
      <c r="M201" s="769"/>
      <c r="N201" s="789" t="s">
        <v>2441</v>
      </c>
      <c r="O201" s="765">
        <f>VLOOKUP(H201,$B$2:$C$10,2,0)</f>
        <v>2.0793883206673902</v>
      </c>
      <c r="P201" s="739">
        <f t="shared" si="27"/>
        <v>0</v>
      </c>
      <c r="Q201" s="1050">
        <f t="shared" si="26"/>
        <v>0</v>
      </c>
    </row>
    <row r="202" spans="1:17" ht="15.5" x14ac:dyDescent="0.35">
      <c r="A202" s="766" t="s">
        <v>2484</v>
      </c>
      <c r="B202" s="768" t="s">
        <v>2433</v>
      </c>
      <c r="C202" s="761"/>
      <c r="D202" s="763"/>
      <c r="E202" s="763"/>
      <c r="F202" s="762"/>
      <c r="G202" s="606"/>
      <c r="H202" s="770" t="str">
        <f t="shared" si="31"/>
        <v>WPR</v>
      </c>
      <c r="I202" s="769">
        <v>10.49</v>
      </c>
      <c r="J202" s="769">
        <v>9.44</v>
      </c>
      <c r="K202" s="769">
        <f t="shared" si="25"/>
        <v>1.111228813559322</v>
      </c>
      <c r="L202" s="769"/>
      <c r="M202" s="769"/>
      <c r="N202" s="789">
        <f>K202</f>
        <v>1.111228813559322</v>
      </c>
      <c r="O202" s="767">
        <f>VLOOKUP(H202,$B$2:$C$10,2,0)</f>
        <v>1.2084262985360623</v>
      </c>
      <c r="P202" s="739">
        <f t="shared" si="27"/>
        <v>0</v>
      </c>
      <c r="Q202" s="1050">
        <f t="shared" si="26"/>
        <v>1</v>
      </c>
    </row>
    <row r="203" spans="1:17" ht="15.5" x14ac:dyDescent="0.35">
      <c r="A203" s="766" t="s">
        <v>1786</v>
      </c>
      <c r="B203" s="760" t="s">
        <v>2429</v>
      </c>
      <c r="C203" s="761" t="s">
        <v>239</v>
      </c>
      <c r="D203" s="763">
        <v>542.47050996999997</v>
      </c>
      <c r="E203" s="763">
        <v>63.456855770000004</v>
      </c>
      <c r="F203" s="762">
        <v>6.9073595999999977</v>
      </c>
      <c r="G203" s="606">
        <v>8548.6509999999998</v>
      </c>
      <c r="H203" s="770" t="str">
        <f t="shared" si="31"/>
        <v>EUR</v>
      </c>
      <c r="I203" s="769"/>
      <c r="J203" s="769"/>
      <c r="K203" s="769" t="str">
        <f t="shared" si="25"/>
        <v/>
      </c>
      <c r="L203" s="769"/>
      <c r="M203" s="769"/>
      <c r="N203" s="789" t="s">
        <v>2441</v>
      </c>
      <c r="O203" s="765">
        <f>VLOOKUP(H203,$B$2:$C$10,2,0)</f>
        <v>1.3809400770844993</v>
      </c>
      <c r="P203" s="739">
        <f t="shared" si="27"/>
        <v>0.74911926785403948</v>
      </c>
      <c r="Q203" s="1050">
        <f t="shared" si="26"/>
        <v>0</v>
      </c>
    </row>
    <row r="204" spans="1:17" ht="15.5" x14ac:dyDescent="0.35">
      <c r="A204" s="766" t="s">
        <v>2125</v>
      </c>
      <c r="B204" s="768" t="s">
        <v>2427</v>
      </c>
      <c r="C204" s="761" t="s">
        <v>2444</v>
      </c>
      <c r="D204" s="763">
        <v>14719.100025720001</v>
      </c>
      <c r="E204" s="763">
        <v>214.38412475999999</v>
      </c>
      <c r="F204" s="762">
        <v>3.6678938899999993</v>
      </c>
      <c r="G204" s="606">
        <v>68657.600000000006</v>
      </c>
      <c r="H204" s="770" t="str">
        <f t="shared" si="31"/>
        <v>SEAR</v>
      </c>
      <c r="I204" s="769">
        <v>13.36</v>
      </c>
      <c r="J204" s="769">
        <v>20.25</v>
      </c>
      <c r="K204" s="769">
        <f t="shared" si="25"/>
        <v>0.65975308641975305</v>
      </c>
      <c r="L204" s="769"/>
      <c r="M204" s="769"/>
      <c r="N204" s="789">
        <f>K204</f>
        <v>0.65975308641975305</v>
      </c>
      <c r="O204" s="767">
        <f>(I204/D204)*1000</f>
        <v>0.90766418983870456</v>
      </c>
      <c r="P204" s="739">
        <f t="shared" si="27"/>
        <v>13.36</v>
      </c>
      <c r="Q204" s="1050">
        <f t="shared" si="26"/>
        <v>1</v>
      </c>
    </row>
    <row r="205" spans="1:17" ht="31" x14ac:dyDescent="0.35">
      <c r="A205" s="759" t="s">
        <v>2485</v>
      </c>
      <c r="B205" s="768" t="s">
        <v>2429</v>
      </c>
      <c r="C205" s="761" t="s">
        <v>2444</v>
      </c>
      <c r="D205" s="762">
        <v>638.18756243999985</v>
      </c>
      <c r="E205" s="762">
        <v>306.91806029999998</v>
      </c>
      <c r="F205" s="763">
        <v>6.3422789599999998</v>
      </c>
      <c r="G205" s="606">
        <v>2079.308</v>
      </c>
      <c r="H205" s="770" t="str">
        <f t="shared" si="31"/>
        <v>EUR</v>
      </c>
      <c r="I205" s="769">
        <v>0.75</v>
      </c>
      <c r="J205" s="769">
        <v>0.77</v>
      </c>
      <c r="K205" s="769">
        <f t="shared" si="25"/>
        <v>0.97402597402597402</v>
      </c>
      <c r="L205" s="769"/>
      <c r="M205" s="769"/>
      <c r="N205" s="789">
        <f>K205</f>
        <v>0.97402597402597402</v>
      </c>
      <c r="O205" s="767">
        <f>(I205/D205)*1000</f>
        <v>1.1752030972407306</v>
      </c>
      <c r="P205" s="739">
        <f t="shared" si="27"/>
        <v>0.75</v>
      </c>
      <c r="Q205" s="1050">
        <f t="shared" si="26"/>
        <v>1</v>
      </c>
    </row>
    <row r="206" spans="1:17" ht="15.5" x14ac:dyDescent="0.35">
      <c r="A206" s="759" t="s">
        <v>2126</v>
      </c>
      <c r="B206" s="760" t="s">
        <v>2427</v>
      </c>
      <c r="C206" s="761" t="s">
        <v>2442</v>
      </c>
      <c r="D206" s="762">
        <v>108.461322</v>
      </c>
      <c r="E206" s="762">
        <v>87.399940489999977</v>
      </c>
      <c r="F206" s="763">
        <v>3.4942436200000002</v>
      </c>
      <c r="G206" s="606">
        <v>1240.9770000000001</v>
      </c>
      <c r="H206" s="770" t="str">
        <f t="shared" si="31"/>
        <v>SEAR</v>
      </c>
      <c r="I206" s="769"/>
      <c r="J206" s="769"/>
      <c r="K206" s="769" t="str">
        <f t="shared" si="25"/>
        <v/>
      </c>
      <c r="L206" s="769"/>
      <c r="M206" s="769"/>
      <c r="N206" s="789" t="s">
        <v>2441</v>
      </c>
      <c r="O206" s="767">
        <f>VLOOKUP(H206,$B$2:$C$10,2,0)</f>
        <v>1.7892275289669113</v>
      </c>
      <c r="P206" s="739">
        <f t="shared" si="27"/>
        <v>0.19406198315054449</v>
      </c>
      <c r="Q206" s="1050">
        <f t="shared" si="26"/>
        <v>0</v>
      </c>
    </row>
    <row r="207" spans="1:17" ht="15.5" x14ac:dyDescent="0.35">
      <c r="A207" s="759" t="s">
        <v>2127</v>
      </c>
      <c r="B207" s="760" t="s">
        <v>2418</v>
      </c>
      <c r="C207" s="761" t="s">
        <v>239</v>
      </c>
      <c r="D207" s="762">
        <v>261.17322426999999</v>
      </c>
      <c r="E207" s="762">
        <v>35.213722229999995</v>
      </c>
      <c r="F207" s="763">
        <v>6.2493743900000007</v>
      </c>
      <c r="G207" s="606">
        <v>7416.8019999999988</v>
      </c>
      <c r="H207" s="770" t="str">
        <f t="shared" si="31"/>
        <v>AFR</v>
      </c>
      <c r="I207" s="769"/>
      <c r="J207" s="769"/>
      <c r="K207" s="769" t="str">
        <f t="shared" si="25"/>
        <v/>
      </c>
      <c r="L207" s="769"/>
      <c r="M207" s="769"/>
      <c r="N207" s="789" t="s">
        <v>2441</v>
      </c>
      <c r="O207" s="767">
        <f>VLOOKUP(H207,$B$2:$C$10,2,0)</f>
        <v>0.78686047711281404</v>
      </c>
      <c r="P207" s="739">
        <f t="shared" si="27"/>
        <v>0.20550688785818416</v>
      </c>
      <c r="Q207" s="1050">
        <f t="shared" si="26"/>
        <v>0</v>
      </c>
    </row>
    <row r="208" spans="1:17" ht="15.5" x14ac:dyDescent="0.35">
      <c r="A208" s="759" t="s">
        <v>2128</v>
      </c>
      <c r="B208" s="760" t="s">
        <v>2433</v>
      </c>
      <c r="C208" s="761" t="s">
        <v>2444</v>
      </c>
      <c r="D208" s="762">
        <v>19.241976510000001</v>
      </c>
      <c r="E208" s="762">
        <v>180.90686034999999</v>
      </c>
      <c r="F208" s="763">
        <v>4.6520142599999996</v>
      </c>
      <c r="G208" s="606">
        <v>106.36399999999999</v>
      </c>
      <c r="H208" s="770" t="str">
        <f t="shared" si="31"/>
        <v>WPR</v>
      </c>
      <c r="I208" s="769"/>
      <c r="J208" s="769"/>
      <c r="K208" s="769" t="str">
        <f t="shared" si="25"/>
        <v/>
      </c>
      <c r="L208" s="769"/>
      <c r="M208" s="769"/>
      <c r="N208" s="789" t="s">
        <v>2441</v>
      </c>
      <c r="O208" s="767">
        <f>VLOOKUP(H208,$B$2:$C$10,2,0)</f>
        <v>1.2084262985360623</v>
      </c>
      <c r="P208" s="739">
        <f t="shared" si="27"/>
        <v>2.3252510450497157E-2</v>
      </c>
      <c r="Q208" s="1050">
        <f t="shared" si="26"/>
        <v>0</v>
      </c>
    </row>
    <row r="209" spans="1:17" ht="15.5" x14ac:dyDescent="0.35">
      <c r="A209" s="759" t="s">
        <v>2129</v>
      </c>
      <c r="B209" s="760" t="s">
        <v>2424</v>
      </c>
      <c r="C209" s="761" t="s">
        <v>2446</v>
      </c>
      <c r="D209" s="762">
        <v>1517.2011365499998</v>
      </c>
      <c r="E209" s="762">
        <v>1115.5181884799999</v>
      </c>
      <c r="F209" s="763">
        <v>6.0395116799999995</v>
      </c>
      <c r="G209" s="606">
        <v>1360.0920000000001</v>
      </c>
      <c r="H209" s="770" t="str">
        <f t="shared" si="31"/>
        <v>AMR</v>
      </c>
      <c r="I209" s="769"/>
      <c r="J209" s="769"/>
      <c r="K209" s="769" t="str">
        <f t="shared" si="25"/>
        <v/>
      </c>
      <c r="L209" s="769"/>
      <c r="M209" s="769"/>
      <c r="N209" s="789" t="s">
        <v>2441</v>
      </c>
      <c r="O209" s="767">
        <f>VLOOKUP(H209,$B$2:$C$10,2,0)</f>
        <v>1.7429565890762324</v>
      </c>
      <c r="P209" s="739">
        <f t="shared" si="27"/>
        <v>2.6444157179037706</v>
      </c>
      <c r="Q209" s="1050">
        <f t="shared" si="26"/>
        <v>0</v>
      </c>
    </row>
    <row r="210" spans="1:17" ht="15.5" x14ac:dyDescent="0.35">
      <c r="A210" s="759" t="s">
        <v>2130</v>
      </c>
      <c r="B210" s="768" t="s">
        <v>2435</v>
      </c>
      <c r="C210" s="761" t="s">
        <v>2442</v>
      </c>
      <c r="D210" s="762">
        <v>3023.8369007699998</v>
      </c>
      <c r="E210" s="762">
        <v>268.22143554999997</v>
      </c>
      <c r="F210" s="763">
        <v>7.0074124299999996</v>
      </c>
      <c r="G210" s="606">
        <v>11273.661000000002</v>
      </c>
      <c r="H210" s="770" t="str">
        <f t="shared" si="31"/>
        <v>EMR</v>
      </c>
      <c r="I210" s="769"/>
      <c r="J210" s="769"/>
      <c r="K210" s="769" t="str">
        <f t="shared" si="25"/>
        <v/>
      </c>
      <c r="L210" s="769"/>
      <c r="M210" s="769"/>
      <c r="N210" s="789" t="s">
        <v>2441</v>
      </c>
      <c r="O210" s="767">
        <f>VLOOKUP(H210,$B$2:$C$10,2,0)</f>
        <v>2.0793883206673902</v>
      </c>
      <c r="P210" s="739">
        <f t="shared" si="27"/>
        <v>6.2877311350642158</v>
      </c>
      <c r="Q210" s="1050">
        <f t="shared" si="26"/>
        <v>0</v>
      </c>
    </row>
    <row r="211" spans="1:17" ht="15.5" x14ac:dyDescent="0.35">
      <c r="A211" s="766" t="s">
        <v>2131</v>
      </c>
      <c r="B211" s="760" t="s">
        <v>2429</v>
      </c>
      <c r="C211" s="761" t="s">
        <v>2444</v>
      </c>
      <c r="D211" s="763">
        <v>35582.896968360001</v>
      </c>
      <c r="E211" s="763">
        <v>454.60968018000005</v>
      </c>
      <c r="F211" s="762">
        <v>4.1385459900000008</v>
      </c>
      <c r="G211" s="606">
        <v>78271.471999999994</v>
      </c>
      <c r="H211" s="606" t="s">
        <v>2437</v>
      </c>
      <c r="I211" s="769">
        <v>11.95</v>
      </c>
      <c r="J211" s="769">
        <v>23.61</v>
      </c>
      <c r="K211" s="769">
        <f t="shared" si="25"/>
        <v>0.50614146548072847</v>
      </c>
      <c r="L211" s="769"/>
      <c r="M211" s="769"/>
      <c r="N211" s="789">
        <f>K211</f>
        <v>0.50614146548072847</v>
      </c>
      <c r="O211" s="767">
        <f>(I211/D211)*1000</f>
        <v>0.33583550014564112</v>
      </c>
      <c r="P211" s="739">
        <f t="shared" si="27"/>
        <v>11.949999999999998</v>
      </c>
      <c r="Q211" s="1050">
        <f t="shared" si="26"/>
        <v>1</v>
      </c>
    </row>
    <row r="212" spans="1:17" ht="15.5" x14ac:dyDescent="0.35">
      <c r="A212" s="759" t="s">
        <v>2132</v>
      </c>
      <c r="B212" s="768" t="s">
        <v>2429</v>
      </c>
      <c r="C212" s="761" t="s">
        <v>2444</v>
      </c>
      <c r="D212" s="762">
        <v>2254.6431669199997</v>
      </c>
      <c r="E212" s="762">
        <v>405.12631225999991</v>
      </c>
      <c r="F212" s="763">
        <v>6.2979364399999991</v>
      </c>
      <c r="G212" s="606">
        <v>5565.2840000000006</v>
      </c>
      <c r="H212" s="770" t="str">
        <f>B212</f>
        <v>EUR</v>
      </c>
      <c r="I212" s="769"/>
      <c r="J212" s="769"/>
      <c r="K212" s="769" t="str">
        <f t="shared" si="25"/>
        <v/>
      </c>
      <c r="L212" s="769"/>
      <c r="M212" s="769"/>
      <c r="N212" s="789" t="s">
        <v>2441</v>
      </c>
      <c r="O212" s="767">
        <f>VLOOKUP(H212,$B$2:$C$10,2,0)</f>
        <v>1.3809400770844993</v>
      </c>
      <c r="P212" s="739">
        <f t="shared" si="27"/>
        <v>3.1135271087245435</v>
      </c>
      <c r="Q212" s="1050">
        <f t="shared" si="26"/>
        <v>0</v>
      </c>
    </row>
    <row r="213" spans="1:17" ht="15.5" x14ac:dyDescent="0.35">
      <c r="A213" s="766" t="s">
        <v>2134</v>
      </c>
      <c r="B213" s="768" t="s">
        <v>2433</v>
      </c>
      <c r="C213" s="761" t="s">
        <v>2444</v>
      </c>
      <c r="D213" s="763">
        <v>5.8965044700000009</v>
      </c>
      <c r="E213" s="763">
        <v>535.99914551000006</v>
      </c>
      <c r="F213" s="762">
        <v>16.699592590000002</v>
      </c>
      <c r="G213" s="606">
        <v>11.000999999999999</v>
      </c>
      <c r="H213" s="770" t="str">
        <f>B213</f>
        <v>WPR</v>
      </c>
      <c r="I213" s="769"/>
      <c r="J213" s="769"/>
      <c r="K213" s="769" t="str">
        <f t="shared" si="25"/>
        <v/>
      </c>
      <c r="L213" s="769"/>
      <c r="M213" s="769"/>
      <c r="N213" s="789" t="s">
        <v>2441</v>
      </c>
      <c r="O213" s="767">
        <f>VLOOKUP(H213,$B$2:$C$10,2,0)</f>
        <v>1.2084262985360623</v>
      </c>
      <c r="P213" s="739">
        <f t="shared" si="27"/>
        <v>7.1254910709834468E-3</v>
      </c>
      <c r="Q213" s="1050">
        <f t="shared" si="26"/>
        <v>0</v>
      </c>
    </row>
    <row r="214" spans="1:17" ht="15.5" x14ac:dyDescent="0.35">
      <c r="A214" s="766" t="s">
        <v>2135</v>
      </c>
      <c r="B214" s="768" t="s">
        <v>2418</v>
      </c>
      <c r="C214" s="761" t="s">
        <v>239</v>
      </c>
      <c r="D214" s="763">
        <v>1671.4859696100004</v>
      </c>
      <c r="E214" s="763">
        <v>41.636352539999997</v>
      </c>
      <c r="F214" s="762">
        <v>6.7875003799999991</v>
      </c>
      <c r="G214" s="606">
        <v>40144.870000000003</v>
      </c>
      <c r="H214" s="770" t="str">
        <f>B214</f>
        <v>AFR</v>
      </c>
      <c r="I214" s="769"/>
      <c r="J214" s="769"/>
      <c r="K214" s="769" t="str">
        <f t="shared" si="25"/>
        <v/>
      </c>
      <c r="L214" s="769"/>
      <c r="M214" s="769"/>
      <c r="N214" s="789" t="s">
        <v>2441</v>
      </c>
      <c r="O214" s="765">
        <f>VLOOKUP(H214,$B$2:$C$10,2,0)</f>
        <v>0.78686047711281404</v>
      </c>
      <c r="P214" s="739">
        <f t="shared" si="27"/>
        <v>1.3152262475346994</v>
      </c>
      <c r="Q214" s="1050">
        <f t="shared" si="26"/>
        <v>0</v>
      </c>
    </row>
    <row r="215" spans="1:17" ht="15.5" x14ac:dyDescent="0.35">
      <c r="A215" s="766" t="s">
        <v>2136</v>
      </c>
      <c r="B215" s="760" t="s">
        <v>2429</v>
      </c>
      <c r="C215" s="761" t="s">
        <v>2442</v>
      </c>
      <c r="D215" s="763">
        <v>6322.41076488</v>
      </c>
      <c r="E215" s="763">
        <v>141.57492065000002</v>
      </c>
      <c r="F215" s="762">
        <v>6.9453554200000003</v>
      </c>
      <c r="G215" s="606">
        <v>44657.704000000005</v>
      </c>
      <c r="H215" s="770" t="str">
        <f>B215</f>
        <v>EUR</v>
      </c>
      <c r="I215" s="769">
        <v>12.27</v>
      </c>
      <c r="J215" s="769">
        <v>5.94</v>
      </c>
      <c r="K215" s="769">
        <f t="shared" si="25"/>
        <v>2.0656565656565653</v>
      </c>
      <c r="L215" s="769"/>
      <c r="M215" s="769"/>
      <c r="N215" s="789">
        <f>K215</f>
        <v>2.0656565656565653</v>
      </c>
      <c r="O215" s="767">
        <f>(I215/D215)*1000</f>
        <v>1.9407154100391462</v>
      </c>
      <c r="P215" s="739">
        <f t="shared" si="27"/>
        <v>12.27</v>
      </c>
      <c r="Q215" s="1050">
        <f t="shared" si="26"/>
        <v>1</v>
      </c>
    </row>
    <row r="216" spans="1:17" ht="15.5" x14ac:dyDescent="0.35">
      <c r="A216" s="766" t="s">
        <v>2137</v>
      </c>
      <c r="B216" s="768" t="s">
        <v>2435</v>
      </c>
      <c r="C216" s="761" t="s">
        <v>2446</v>
      </c>
      <c r="D216" s="763">
        <v>12834.09810608</v>
      </c>
      <c r="E216" s="763">
        <v>1401.9744873</v>
      </c>
      <c r="F216" s="762">
        <v>3.5835943200000004</v>
      </c>
      <c r="G216" s="606">
        <v>9154.3019999999997</v>
      </c>
      <c r="H216" s="770" t="str">
        <f>B216</f>
        <v>EMR</v>
      </c>
      <c r="I216" s="769"/>
      <c r="J216" s="769"/>
      <c r="K216" s="769" t="str">
        <f t="shared" si="25"/>
        <v/>
      </c>
      <c r="L216" s="769"/>
      <c r="M216" s="769"/>
      <c r="N216" s="789" t="s">
        <v>2441</v>
      </c>
      <c r="O216" s="767">
        <f>VLOOKUP(H216,$B$2:$C$10,2,0)</f>
        <v>2.0793883206673902</v>
      </c>
      <c r="P216" s="739">
        <f t="shared" si="27"/>
        <v>26.687073708082224</v>
      </c>
      <c r="Q216" s="1050">
        <f t="shared" si="26"/>
        <v>0</v>
      </c>
    </row>
    <row r="217" spans="1:17" ht="15.5" x14ac:dyDescent="0.35">
      <c r="A217" s="759" t="s">
        <v>2138</v>
      </c>
      <c r="B217" s="768" t="s">
        <v>2429</v>
      </c>
      <c r="C217" s="761" t="s">
        <v>2446</v>
      </c>
      <c r="D217" s="762">
        <v>280572.45873086998</v>
      </c>
      <c r="E217" s="762">
        <v>4326.25</v>
      </c>
      <c r="F217" s="763">
        <v>9.6868457800000005</v>
      </c>
      <c r="G217" s="606">
        <v>64853.392999999996</v>
      </c>
      <c r="H217" s="606" t="s">
        <v>2439</v>
      </c>
      <c r="I217" s="769">
        <v>42.31</v>
      </c>
      <c r="J217" s="769">
        <v>227.73</v>
      </c>
      <c r="K217" s="769">
        <f t="shared" si="25"/>
        <v>0.18579019013744349</v>
      </c>
      <c r="L217" s="769"/>
      <c r="M217" s="769"/>
      <c r="N217" s="789">
        <f>K217</f>
        <v>0.18579019013744349</v>
      </c>
      <c r="O217" s="767">
        <f>(I217/D217)*1000</f>
        <v>0.15079883532183927</v>
      </c>
      <c r="P217" s="739">
        <f t="shared" si="27"/>
        <v>42.310000000000009</v>
      </c>
      <c r="Q217" s="1050">
        <f t="shared" si="26"/>
        <v>1</v>
      </c>
    </row>
    <row r="218" spans="1:17" ht="15.5" x14ac:dyDescent="0.35">
      <c r="A218" s="759" t="s">
        <v>2486</v>
      </c>
      <c r="B218" s="768" t="s">
        <v>2418</v>
      </c>
      <c r="C218" s="761" t="s">
        <v>239</v>
      </c>
      <c r="D218" s="762">
        <v>1729.17643294</v>
      </c>
      <c r="E218" s="762">
        <v>32.093128200000002</v>
      </c>
      <c r="F218" s="763">
        <v>3.6496341200000004</v>
      </c>
      <c r="G218" s="606">
        <v>53879.957000000009</v>
      </c>
      <c r="H218" s="770" t="str">
        <f>B218</f>
        <v>AFR</v>
      </c>
      <c r="I218" s="769"/>
      <c r="J218" s="769"/>
      <c r="K218" s="769" t="str">
        <f t="shared" si="25"/>
        <v/>
      </c>
      <c r="L218" s="769"/>
      <c r="M218" s="769"/>
      <c r="N218" s="789" t="s">
        <v>2441</v>
      </c>
      <c r="O218" s="765">
        <f>VLOOKUP(H218,$B$2:$C$10,2,0)</f>
        <v>0.78686047711281404</v>
      </c>
      <c r="P218" s="739">
        <f t="shared" si="27"/>
        <v>1.3606205930354025</v>
      </c>
      <c r="Q218" s="1050">
        <f t="shared" si="26"/>
        <v>0</v>
      </c>
    </row>
    <row r="219" spans="1:17" ht="15.5" x14ac:dyDescent="0.35">
      <c r="A219" s="766" t="s">
        <v>2487</v>
      </c>
      <c r="B219" s="768" t="s">
        <v>2424</v>
      </c>
      <c r="C219" s="761" t="s">
        <v>2446</v>
      </c>
      <c r="D219" s="763">
        <v>3051506.80959877</v>
      </c>
      <c r="E219" s="763">
        <v>9538.0703125</v>
      </c>
      <c r="F219" s="762">
        <v>16.839881900000002</v>
      </c>
      <c r="G219" s="606">
        <v>319929.16200000001</v>
      </c>
      <c r="H219" s="606" t="s">
        <v>2437</v>
      </c>
      <c r="I219" s="769">
        <v>520.05999999999995</v>
      </c>
      <c r="J219" s="769">
        <v>2292.11</v>
      </c>
      <c r="K219" s="769">
        <f t="shared" si="25"/>
        <v>0.22689137955857264</v>
      </c>
      <c r="L219" s="769"/>
      <c r="M219" s="769"/>
      <c r="N219" s="789">
        <f>K219</f>
        <v>0.22689137955857264</v>
      </c>
      <c r="O219" s="767">
        <f>(I219/D219)*1000</f>
        <v>0.17042727821026246</v>
      </c>
      <c r="P219" s="739">
        <f t="shared" si="27"/>
        <v>520.05999999999995</v>
      </c>
      <c r="Q219" s="1050">
        <f t="shared" si="26"/>
        <v>1</v>
      </c>
    </row>
    <row r="220" spans="1:17" ht="15.5" x14ac:dyDescent="0.35">
      <c r="A220" s="759" t="s">
        <v>2141</v>
      </c>
      <c r="B220" s="768" t="s">
        <v>2424</v>
      </c>
      <c r="C220" s="761" t="s">
        <v>2446</v>
      </c>
      <c r="D220" s="762">
        <v>4799.0668871599992</v>
      </c>
      <c r="E220" s="762">
        <v>1398.5120849599998</v>
      </c>
      <c r="F220" s="763">
        <v>9.008198740000001</v>
      </c>
      <c r="G220" s="606">
        <v>3431.5520000000006</v>
      </c>
      <c r="H220" s="770" t="str">
        <f>B220</f>
        <v>AMR</v>
      </c>
      <c r="I220" s="769">
        <v>2.71</v>
      </c>
      <c r="J220" s="769">
        <v>5.22</v>
      </c>
      <c r="K220" s="769">
        <f t="shared" si="25"/>
        <v>0.51915708812260541</v>
      </c>
      <c r="L220" s="769"/>
      <c r="M220" s="769"/>
      <c r="N220" s="789">
        <f>K220</f>
        <v>0.51915708812260541</v>
      </c>
      <c r="O220" s="767">
        <f>(I220/D220)*1000</f>
        <v>0.56469310883135637</v>
      </c>
      <c r="P220" s="739">
        <f t="shared" si="27"/>
        <v>2.71</v>
      </c>
      <c r="Q220" s="1050">
        <f t="shared" si="26"/>
        <v>1</v>
      </c>
    </row>
    <row r="221" spans="1:17" ht="15.5" x14ac:dyDescent="0.35">
      <c r="A221" s="766" t="s">
        <v>2142</v>
      </c>
      <c r="B221" s="768" t="s">
        <v>2429</v>
      </c>
      <c r="C221" s="761" t="s">
        <v>2442</v>
      </c>
      <c r="D221" s="763">
        <v>4077.5370609599995</v>
      </c>
      <c r="E221" s="763">
        <v>131.63528442</v>
      </c>
      <c r="F221" s="762">
        <v>6.1016268699999996</v>
      </c>
      <c r="G221" s="606">
        <v>30976.021000000001</v>
      </c>
      <c r="H221" s="770" t="str">
        <f t="shared" ref="H221:H227" si="32">B221</f>
        <v>EUR</v>
      </c>
      <c r="I221" s="769">
        <v>3.52</v>
      </c>
      <c r="J221" s="769">
        <v>2.34</v>
      </c>
      <c r="K221" s="769">
        <f t="shared" si="25"/>
        <v>1.5042735042735045</v>
      </c>
      <c r="L221" s="769"/>
      <c r="M221" s="769"/>
      <c r="N221" s="789">
        <f>K221</f>
        <v>1.5042735042735045</v>
      </c>
      <c r="O221" s="767">
        <f>(I221/D221)*1000</f>
        <v>0.8632662186450526</v>
      </c>
      <c r="P221" s="739">
        <f t="shared" si="27"/>
        <v>3.52</v>
      </c>
      <c r="Q221" s="1050">
        <f t="shared" si="26"/>
        <v>1</v>
      </c>
    </row>
    <row r="222" spans="1:17" ht="15.5" x14ac:dyDescent="0.35">
      <c r="A222" s="759" t="s">
        <v>2488</v>
      </c>
      <c r="B222" s="768" t="s">
        <v>2433</v>
      </c>
      <c r="C222" s="761" t="s">
        <v>2442</v>
      </c>
      <c r="D222" s="762">
        <v>31.585920620000003</v>
      </c>
      <c r="E222" s="762">
        <v>119.37098694000001</v>
      </c>
      <c r="F222" s="763">
        <v>4.1577372600000002</v>
      </c>
      <c r="G222" s="606">
        <v>264.60299999999995</v>
      </c>
      <c r="H222" s="770" t="str">
        <f t="shared" si="32"/>
        <v>WPR</v>
      </c>
      <c r="I222" s="769"/>
      <c r="J222" s="769"/>
      <c r="K222" s="769" t="str">
        <f t="shared" si="25"/>
        <v/>
      </c>
      <c r="L222" s="769"/>
      <c r="M222" s="769"/>
      <c r="N222" s="789" t="s">
        <v>2441</v>
      </c>
      <c r="O222" s="767">
        <f>VLOOKUP(H222,$B$2:$C$10,2,0)</f>
        <v>1.2084262985360623</v>
      </c>
      <c r="P222" s="739">
        <f t="shared" si="27"/>
        <v>3.8169257140680493E-2</v>
      </c>
      <c r="Q222" s="1050">
        <f t="shared" si="26"/>
        <v>0</v>
      </c>
    </row>
    <row r="223" spans="1:17" ht="31" x14ac:dyDescent="0.35">
      <c r="A223" s="766" t="s">
        <v>2489</v>
      </c>
      <c r="B223" s="768" t="s">
        <v>2424</v>
      </c>
      <c r="C223" s="761" t="s">
        <v>2444</v>
      </c>
      <c r="D223" s="763">
        <v>17662.759914810002</v>
      </c>
      <c r="E223" s="763">
        <v>566.92932128999996</v>
      </c>
      <c r="F223" s="762">
        <v>5.1289319999999998</v>
      </c>
      <c r="G223" s="606">
        <v>31155.133999999998</v>
      </c>
      <c r="H223" s="770" t="str">
        <f t="shared" si="32"/>
        <v>AMR</v>
      </c>
      <c r="I223" s="769">
        <v>4.5999999999999996</v>
      </c>
      <c r="J223" s="769">
        <v>3.26</v>
      </c>
      <c r="K223" s="769">
        <f t="shared" ref="K223:K227" si="33">IFERROR((I223/J223),"")</f>
        <v>1.4110429447852761</v>
      </c>
      <c r="L223" s="769"/>
      <c r="M223" s="769"/>
      <c r="N223" s="789">
        <f>K223</f>
        <v>1.4110429447852761</v>
      </c>
      <c r="O223" s="767">
        <f>(I223/D223)*1000</f>
        <v>0.26043495026748098</v>
      </c>
      <c r="P223" s="739">
        <f t="shared" si="27"/>
        <v>4.5999999999999988</v>
      </c>
      <c r="Q223" s="1050">
        <f t="shared" si="26"/>
        <v>1</v>
      </c>
    </row>
    <row r="224" spans="1:17" ht="15.5" x14ac:dyDescent="0.35">
      <c r="A224" s="766" t="s">
        <v>2490</v>
      </c>
      <c r="B224" s="768" t="s">
        <v>2433</v>
      </c>
      <c r="C224" s="761" t="s">
        <v>2442</v>
      </c>
      <c r="D224" s="763">
        <v>10923.188132489999</v>
      </c>
      <c r="E224" s="763">
        <v>116.7361908</v>
      </c>
      <c r="F224" s="762">
        <v>5.6526207899999994</v>
      </c>
      <c r="G224" s="606">
        <v>93571.566999999995</v>
      </c>
      <c r="H224" s="770" t="str">
        <f t="shared" si="32"/>
        <v>WPR</v>
      </c>
      <c r="I224" s="769">
        <v>14.62</v>
      </c>
      <c r="J224" s="769">
        <v>4.05</v>
      </c>
      <c r="K224" s="769">
        <f t="shared" si="33"/>
        <v>3.6098765432098765</v>
      </c>
      <c r="L224" s="769"/>
      <c r="M224" s="769"/>
      <c r="N224" s="789">
        <f>K224</f>
        <v>3.6098765432098765</v>
      </c>
      <c r="O224" s="767">
        <f>(I224/D224)*1000</f>
        <v>1.3384370774054675</v>
      </c>
      <c r="P224" s="739">
        <f t="shared" si="27"/>
        <v>14.62</v>
      </c>
      <c r="Q224" s="1050">
        <f t="shared" ref="Q224:Q227" si="34">IF(N224="None avaliable",0,1)</f>
        <v>1</v>
      </c>
    </row>
    <row r="225" spans="1:17" ht="15.5" x14ac:dyDescent="0.35">
      <c r="A225" s="759" t="s">
        <v>2148</v>
      </c>
      <c r="B225" s="768" t="s">
        <v>2435</v>
      </c>
      <c r="C225" s="761" t="s">
        <v>239</v>
      </c>
      <c r="D225" s="762">
        <v>1939.0292762900001</v>
      </c>
      <c r="E225" s="762">
        <v>72.039466860000005</v>
      </c>
      <c r="F225" s="763">
        <v>4.2345752700000006</v>
      </c>
      <c r="G225" s="606">
        <v>26916.207000000002</v>
      </c>
      <c r="H225" s="770" t="str">
        <f t="shared" si="32"/>
        <v>EMR</v>
      </c>
      <c r="I225" s="769"/>
      <c r="J225" s="769"/>
      <c r="K225" s="769" t="str">
        <f t="shared" si="33"/>
        <v/>
      </c>
      <c r="L225" s="769"/>
      <c r="M225" s="769"/>
      <c r="N225" s="789" t="s">
        <v>2441</v>
      </c>
      <c r="O225" s="767">
        <f>VLOOKUP(H225,$B$2:$C$10,2,0)</f>
        <v>2.0793883206673902</v>
      </c>
      <c r="P225" s="739">
        <f>(O225*D225)/1000</f>
        <v>4.0319948305495679</v>
      </c>
      <c r="Q225" s="1050">
        <f t="shared" si="34"/>
        <v>0</v>
      </c>
    </row>
    <row r="226" spans="1:17" ht="15.5" x14ac:dyDescent="0.35">
      <c r="A226" s="766" t="s">
        <v>2149</v>
      </c>
      <c r="B226" s="761" t="s">
        <v>2418</v>
      </c>
      <c r="C226" s="761" t="s">
        <v>2442</v>
      </c>
      <c r="D226" s="763">
        <v>942.16861743000004</v>
      </c>
      <c r="E226" s="763">
        <v>58.51765442</v>
      </c>
      <c r="F226" s="762">
        <v>4.4351024600000004</v>
      </c>
      <c r="G226" s="606">
        <v>16100.587</v>
      </c>
      <c r="H226" s="770" t="str">
        <f t="shared" si="32"/>
        <v>AFR</v>
      </c>
      <c r="I226" s="769"/>
      <c r="J226" s="769"/>
      <c r="K226" s="769" t="str">
        <f t="shared" si="33"/>
        <v/>
      </c>
      <c r="L226" s="769"/>
      <c r="M226" s="769"/>
      <c r="N226" s="789" t="s">
        <v>2441</v>
      </c>
      <c r="O226" s="767">
        <f>VLOOKUP(H226,$B$2:$C$10,2,0)</f>
        <v>0.78686047711281404</v>
      </c>
      <c r="P226" s="739">
        <f>(O226*D226)/1000</f>
        <v>0.74135524783169027</v>
      </c>
      <c r="Q226" s="1050">
        <f t="shared" si="34"/>
        <v>0</v>
      </c>
    </row>
    <row r="227" spans="1:17" ht="15.5" x14ac:dyDescent="0.35">
      <c r="A227" s="759" t="s">
        <v>2151</v>
      </c>
      <c r="B227" s="768" t="s">
        <v>2418</v>
      </c>
      <c r="C227" s="761" t="s">
        <v>239</v>
      </c>
      <c r="D227" s="762">
        <v>1487.6559485299999</v>
      </c>
      <c r="E227" s="762">
        <v>94.290008539999988</v>
      </c>
      <c r="F227" s="763">
        <v>7.4520664199999995</v>
      </c>
      <c r="G227" s="606">
        <v>15777.451000000001</v>
      </c>
      <c r="H227" s="770" t="str">
        <f t="shared" si="32"/>
        <v>AFR</v>
      </c>
      <c r="I227" s="769"/>
      <c r="J227" s="769"/>
      <c r="K227" s="769" t="str">
        <f t="shared" si="33"/>
        <v/>
      </c>
      <c r="L227" s="769"/>
      <c r="M227" s="769"/>
      <c r="N227" s="789" t="s">
        <v>2441</v>
      </c>
      <c r="O227" s="767">
        <f>VLOOKUP(H227,$B$2:$C$10,2,0)</f>
        <v>0.78686047711281404</v>
      </c>
      <c r="P227" s="739">
        <f>(O227*D227)/1000</f>
        <v>1.1705776694400318</v>
      </c>
      <c r="Q227" s="1050">
        <f t="shared" si="34"/>
        <v>0</v>
      </c>
    </row>
    <row r="228" spans="1:17" ht="15.5" x14ac:dyDescent="0.35">
      <c r="A228" s="775"/>
      <c r="B228" s="775"/>
      <c r="F228" s="776"/>
      <c r="G228" s="775"/>
      <c r="H228" s="777">
        <f>SUM(H31:H227)</f>
        <v>0</v>
      </c>
    </row>
    <row r="229" spans="1:17" x14ac:dyDescent="0.35">
      <c r="F229"/>
    </row>
    <row r="230" spans="1:17" x14ac:dyDescent="0.35">
      <c r="F230"/>
    </row>
    <row r="231" spans="1:17" x14ac:dyDescent="0.35">
      <c r="F231"/>
    </row>
    <row r="232" spans="1:17" x14ac:dyDescent="0.35">
      <c r="F232"/>
    </row>
    <row r="233" spans="1:17" x14ac:dyDescent="0.35">
      <c r="F233"/>
    </row>
    <row r="234" spans="1:17" x14ac:dyDescent="0.35">
      <c r="F234"/>
    </row>
    <row r="235" spans="1:17" x14ac:dyDescent="0.35">
      <c r="F235"/>
    </row>
    <row r="236" spans="1:17" x14ac:dyDescent="0.35">
      <c r="F236"/>
    </row>
    <row r="237" spans="1:17" x14ac:dyDescent="0.35">
      <c r="F237"/>
    </row>
    <row r="238" spans="1:17" x14ac:dyDescent="0.35">
      <c r="F238"/>
    </row>
    <row r="239" spans="1:17" x14ac:dyDescent="0.35">
      <c r="F239"/>
    </row>
    <row r="240" spans="1:17" ht="15.5" x14ac:dyDescent="0.35">
      <c r="C240" s="775"/>
      <c r="F240"/>
    </row>
    <row r="241" spans="6:6" x14ac:dyDescent="0.35">
      <c r="F241"/>
    </row>
    <row r="242" spans="6:6" x14ac:dyDescent="0.35">
      <c r="F242"/>
    </row>
  </sheetData>
  <sheetProtection algorithmName="SHA-512" hashValue="dIodMp+r+BQ82Y4NFvB8/DiEfFUxZIlluoGJwdUz8Xx008QCneb7N5YFQmGK0x1l5Gu9F2RwzWbx3EdxCdgY8A==" saltValue="H9TEvJogA6IWELNpC0dIsg==" spinCount="100000" sheet="1" objects="1" scenarios="1"/>
  <autoFilter ref="A17:P228" xr:uid="{CE9DDE37-84B2-450B-AC1A-8F19AD616A78}"/>
  <mergeCells count="2">
    <mergeCell ref="A16:G16"/>
    <mergeCell ref="I16:K16"/>
  </mergeCells>
  <hyperlinks>
    <hyperlink ref="I2" r:id="rId1" xr:uid="{C965D7BF-018D-4C16-9FFD-CACE23ADD514}"/>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8BA8C-C301-44C6-967E-8E2C60881B1C}">
  <sheetPr codeName="Sheet25"/>
  <dimension ref="A1:M64"/>
  <sheetViews>
    <sheetView workbookViewId="0">
      <selection sqref="A1:F1"/>
    </sheetView>
  </sheetViews>
  <sheetFormatPr defaultColWidth="9.1796875" defaultRowHeight="14.5" x14ac:dyDescent="0.35"/>
  <cols>
    <col min="1" max="1" width="5.453125" style="17" customWidth="1"/>
    <col min="2" max="2" width="10" style="17" customWidth="1"/>
    <col min="3" max="3" width="34" style="17" customWidth="1"/>
    <col min="4" max="4" width="15.453125" style="17" customWidth="1"/>
    <col min="5" max="5" width="21.7265625" style="17" bestFit="1" customWidth="1"/>
    <col min="6" max="8" width="15.453125" style="17" customWidth="1"/>
    <col min="9" max="9" width="13.453125" style="17" customWidth="1"/>
    <col min="10" max="16384" width="9.1796875" style="17"/>
  </cols>
  <sheetData>
    <row r="1" spans="1:13" s="18" customFormat="1" ht="10.5" x14ac:dyDescent="0.25">
      <c r="A1" s="2034"/>
      <c r="B1" s="2034"/>
      <c r="C1" s="2034"/>
      <c r="D1" s="2034"/>
      <c r="E1" s="2034"/>
      <c r="F1" s="2034"/>
      <c r="G1" s="19"/>
      <c r="H1" s="19"/>
      <c r="I1" s="19"/>
      <c r="J1" s="19"/>
      <c r="K1" s="19"/>
      <c r="L1" s="19"/>
      <c r="M1" s="19"/>
    </row>
    <row r="2" spans="1:13" ht="21" x14ac:dyDescent="0.5">
      <c r="A2" s="2035" t="s">
        <v>2491</v>
      </c>
      <c r="B2" s="2035"/>
      <c r="C2" s="2035"/>
      <c r="D2" s="2035"/>
      <c r="E2" s="2035"/>
      <c r="F2" s="2035"/>
    </row>
    <row r="3" spans="1:13" s="16" customFormat="1" ht="6" thickBot="1" x14ac:dyDescent="0.2"/>
    <row r="4" spans="1:13" ht="32.25" customHeight="1" thickTop="1" x14ac:dyDescent="0.35">
      <c r="B4" s="15" t="s">
        <v>132</v>
      </c>
      <c r="C4" s="14" t="s">
        <v>2168</v>
      </c>
      <c r="D4" s="13" t="s">
        <v>131</v>
      </c>
      <c r="E4" s="12">
        <v>44348</v>
      </c>
    </row>
    <row r="5" spans="1:13" ht="15" thickBot="1" x14ac:dyDescent="0.4"/>
    <row r="6" spans="1:13" ht="36" customHeight="1" thickTop="1" thickBot="1" x14ac:dyDescent="0.4">
      <c r="B6" s="2036" t="s">
        <v>2492</v>
      </c>
      <c r="C6" s="2037"/>
      <c r="D6" s="2037"/>
      <c r="E6" s="2037"/>
      <c r="F6" s="2037"/>
      <c r="G6" s="2037"/>
      <c r="H6" s="2037"/>
      <c r="I6" s="2037"/>
      <c r="J6" s="2037"/>
      <c r="K6" s="2037"/>
      <c r="L6" s="2037"/>
      <c r="M6" s="2038"/>
    </row>
    <row r="7" spans="1:13" ht="15" thickTop="1" x14ac:dyDescent="0.35"/>
    <row r="8" spans="1:13" x14ac:dyDescent="0.35">
      <c r="B8" s="2039" t="s">
        <v>2493</v>
      </c>
      <c r="C8" s="2039"/>
      <c r="D8" s="2039"/>
      <c r="E8" s="2039"/>
      <c r="F8" s="2039"/>
      <c r="G8" s="2039"/>
      <c r="H8" s="2039"/>
      <c r="I8" s="2039"/>
      <c r="J8" s="2039"/>
      <c r="K8" s="2039"/>
      <c r="L8" s="2039"/>
      <c r="M8" s="2039"/>
    </row>
    <row r="9" spans="1:13" x14ac:dyDescent="0.35">
      <c r="B9" s="17" t="s">
        <v>2494</v>
      </c>
    </row>
    <row r="11" spans="1:13" x14ac:dyDescent="0.35">
      <c r="B11" s="2039" t="s">
        <v>2495</v>
      </c>
      <c r="C11" s="2039"/>
      <c r="D11" s="2039"/>
      <c r="E11" s="2039"/>
      <c r="F11" s="2039"/>
      <c r="G11" s="2039"/>
      <c r="H11" s="2039"/>
      <c r="I11" s="2039"/>
      <c r="J11" s="2039"/>
      <c r="K11" s="2039"/>
      <c r="L11" s="2039"/>
      <c r="M11" s="2039"/>
    </row>
    <row r="12" spans="1:13" ht="33" customHeight="1" x14ac:dyDescent="0.35">
      <c r="B12" s="2030" t="s">
        <v>2496</v>
      </c>
      <c r="C12" s="2030"/>
      <c r="D12" s="2030"/>
      <c r="E12" s="2030"/>
      <c r="F12" s="2030"/>
      <c r="G12" s="2030"/>
      <c r="H12" s="2030"/>
      <c r="I12" s="2030"/>
      <c r="J12" s="2030"/>
      <c r="K12" s="2030"/>
      <c r="L12" s="2030"/>
      <c r="M12" s="2030"/>
    </row>
    <row r="13" spans="1:13" ht="19.5" customHeight="1" x14ac:dyDescent="0.35">
      <c r="B13" s="2030" t="s">
        <v>2497</v>
      </c>
      <c r="C13" s="2030"/>
      <c r="D13" s="2030"/>
      <c r="E13" s="2030"/>
      <c r="F13" s="2030"/>
      <c r="G13" s="2030"/>
      <c r="H13" s="2030"/>
      <c r="I13" s="2030"/>
      <c r="J13" s="2030"/>
      <c r="K13" s="2030"/>
      <c r="L13" s="2030"/>
      <c r="M13" s="2030"/>
    </row>
    <row r="16" spans="1:13" ht="15" thickBot="1" x14ac:dyDescent="0.4"/>
    <row r="17" spans="2:8" ht="15.5" thickTop="1" thickBot="1" x14ac:dyDescent="0.4">
      <c r="D17" s="11" t="s">
        <v>2498</v>
      </c>
      <c r="E17" s="11" t="s">
        <v>467</v>
      </c>
      <c r="F17" s="11" t="s">
        <v>2499</v>
      </c>
    </row>
    <row r="18" spans="2:8" ht="17.5" thickTop="1" thickBot="1" x14ac:dyDescent="0.4">
      <c r="B18" s="2027" t="s">
        <v>2500</v>
      </c>
      <c r="C18" s="10" t="s">
        <v>2501</v>
      </c>
      <c r="D18" s="9" t="s">
        <v>2502</v>
      </c>
      <c r="E18" s="8">
        <v>1000</v>
      </c>
      <c r="F18" s="9" t="s">
        <v>2503</v>
      </c>
    </row>
    <row r="19" spans="2:8" ht="17.5" thickTop="1" thickBot="1" x14ac:dyDescent="0.4">
      <c r="B19" s="2028"/>
      <c r="C19" s="10" t="s">
        <v>2504</v>
      </c>
      <c r="D19" s="60" t="s">
        <v>2505</v>
      </c>
      <c r="E19" s="61">
        <v>1000000</v>
      </c>
      <c r="F19" s="60" t="s">
        <v>2506</v>
      </c>
    </row>
    <row r="20" spans="2:8" ht="17.5" thickTop="1" thickBot="1" x14ac:dyDescent="0.4">
      <c r="B20" s="2028"/>
      <c r="C20" s="10" t="s">
        <v>2507</v>
      </c>
      <c r="D20" s="60" t="s">
        <v>2508</v>
      </c>
      <c r="E20" s="61">
        <v>1000000000</v>
      </c>
      <c r="F20" s="60" t="s">
        <v>2509</v>
      </c>
    </row>
    <row r="21" spans="2:8" ht="17.5" thickTop="1" thickBot="1" x14ac:dyDescent="0.4">
      <c r="B21" s="2028"/>
      <c r="C21" s="10" t="s">
        <v>2510</v>
      </c>
      <c r="D21" s="60" t="s">
        <v>2511</v>
      </c>
      <c r="E21" s="61">
        <v>1000000000000</v>
      </c>
      <c r="F21" s="60" t="s">
        <v>2512</v>
      </c>
    </row>
    <row r="22" spans="2:8" ht="17.5" thickTop="1" thickBot="1" x14ac:dyDescent="0.4">
      <c r="B22" s="2029"/>
      <c r="C22" s="10" t="s">
        <v>2513</v>
      </c>
      <c r="D22" s="62" t="s">
        <v>2514</v>
      </c>
      <c r="E22" s="63">
        <v>1000000000000000</v>
      </c>
      <c r="F22" s="62" t="s">
        <v>2515</v>
      </c>
    </row>
    <row r="23" spans="2:8" ht="15" thickTop="1" x14ac:dyDescent="0.35">
      <c r="B23" s="64"/>
    </row>
    <row r="24" spans="2:8" ht="15" thickBot="1" x14ac:dyDescent="0.4"/>
    <row r="25" spans="2:8" ht="15.5" thickTop="1" thickBot="1" x14ac:dyDescent="0.4">
      <c r="C25" s="65"/>
      <c r="D25" s="11" t="s">
        <v>1722</v>
      </c>
      <c r="E25" s="11" t="s">
        <v>1785</v>
      </c>
      <c r="F25" s="11" t="s">
        <v>2516</v>
      </c>
      <c r="G25" s="11" t="s">
        <v>2517</v>
      </c>
      <c r="H25" s="11" t="s">
        <v>2518</v>
      </c>
    </row>
    <row r="26" spans="2:8" ht="15.5" thickTop="1" thickBot="1" x14ac:dyDescent="0.4">
      <c r="B26" s="2031" t="s">
        <v>351</v>
      </c>
      <c r="C26" s="10" t="s">
        <v>2519</v>
      </c>
      <c r="D26" s="66"/>
      <c r="E26" s="67">
        <v>277.77777777799997</v>
      </c>
      <c r="F26" s="68">
        <v>9.4781707770000008</v>
      </c>
      <c r="G26" s="68">
        <v>2.3884590000000001E-2</v>
      </c>
      <c r="H26" s="69">
        <v>238902.95761861501</v>
      </c>
    </row>
    <row r="27" spans="2:8" ht="15.5" thickTop="1" thickBot="1" x14ac:dyDescent="0.4">
      <c r="B27" s="2032"/>
      <c r="C27" s="10" t="s">
        <v>2520</v>
      </c>
      <c r="D27" s="70">
        <v>3.5999999999971203E-3</v>
      </c>
      <c r="E27" s="71"/>
      <c r="F27" s="72">
        <v>3.4121414797172706E-2</v>
      </c>
      <c r="G27" s="72">
        <v>8.5984523999931223E-5</v>
      </c>
      <c r="H27" s="73">
        <v>860.05064742632601</v>
      </c>
    </row>
    <row r="28" spans="2:8" ht="15.5" thickTop="1" thickBot="1" x14ac:dyDescent="0.4">
      <c r="B28" s="2032"/>
      <c r="C28" s="10" t="s">
        <v>2521</v>
      </c>
      <c r="D28" s="74">
        <v>0.10550559000547115</v>
      </c>
      <c r="E28" s="75">
        <v>29.307108334876538</v>
      </c>
      <c r="F28" s="71"/>
      <c r="G28" s="72">
        <v>2.5199577599887761E-3</v>
      </c>
      <c r="H28" s="76">
        <v>25205.597497604045</v>
      </c>
    </row>
    <row r="29" spans="2:8" ht="15.5" thickTop="1" thickBot="1" x14ac:dyDescent="0.4">
      <c r="B29" s="2032"/>
      <c r="C29" s="10" t="s">
        <v>2522</v>
      </c>
      <c r="D29" s="77">
        <v>41.867999408823849</v>
      </c>
      <c r="E29" s="78">
        <v>11629.999835793706</v>
      </c>
      <c r="F29" s="79">
        <v>396.83204848816752</v>
      </c>
      <c r="G29" s="71"/>
      <c r="H29" s="76">
        <v>10002388.888342442</v>
      </c>
    </row>
    <row r="30" spans="2:8" ht="15.5" thickTop="1" thickBot="1" x14ac:dyDescent="0.4">
      <c r="B30" s="2033"/>
      <c r="C30" s="10" t="s">
        <v>2523</v>
      </c>
      <c r="D30" s="80">
        <v>4.1858000000000057E-6</v>
      </c>
      <c r="E30" s="81">
        <v>1.1627222222231539E-3</v>
      </c>
      <c r="F30" s="82">
        <v>3.9673727238366659E-5</v>
      </c>
      <c r="G30" s="82">
        <v>9.9976116822000138E-8</v>
      </c>
      <c r="H30" s="83"/>
    </row>
    <row r="31" spans="2:8" ht="15" thickTop="1" x14ac:dyDescent="0.35"/>
    <row r="32" spans="2:8" ht="15" thickBot="1" x14ac:dyDescent="0.4"/>
    <row r="33" spans="2:9" ht="17.5" thickTop="1" thickBot="1" x14ac:dyDescent="0.4">
      <c r="C33" s="65"/>
      <c r="D33" s="11" t="s">
        <v>2524</v>
      </c>
      <c r="E33" s="11" t="s">
        <v>2525</v>
      </c>
      <c r="F33" s="11" t="s">
        <v>2526</v>
      </c>
      <c r="G33" s="11" t="s">
        <v>2527</v>
      </c>
      <c r="H33" s="11" t="s">
        <v>2528</v>
      </c>
      <c r="I33" s="11" t="s">
        <v>2529</v>
      </c>
    </row>
    <row r="34" spans="2:9" ht="16.5" customHeight="1" thickTop="1" thickBot="1" x14ac:dyDescent="0.4">
      <c r="B34" s="2031" t="s">
        <v>2530</v>
      </c>
      <c r="C34" s="10" t="s">
        <v>2531</v>
      </c>
      <c r="D34" s="66"/>
      <c r="E34" s="84">
        <v>1E-3</v>
      </c>
      <c r="F34" s="85">
        <v>3.5314667000000001E-2</v>
      </c>
      <c r="G34" s="85">
        <v>0.21996924800000001</v>
      </c>
      <c r="H34" s="85">
        <v>0.26417205100000002</v>
      </c>
      <c r="I34" s="86">
        <v>6.2898110000000002E-3</v>
      </c>
    </row>
    <row r="35" spans="2:9" ht="17.5" thickTop="1" thickBot="1" x14ac:dyDescent="0.4">
      <c r="B35" s="2032"/>
      <c r="C35" s="10" t="s">
        <v>2532</v>
      </c>
      <c r="D35" s="87">
        <v>1000</v>
      </c>
      <c r="E35" s="71"/>
      <c r="F35" s="88">
        <v>35.314667</v>
      </c>
      <c r="G35" s="89">
        <v>219.96924799999999</v>
      </c>
      <c r="H35" s="89">
        <v>264.17205100000001</v>
      </c>
      <c r="I35" s="90">
        <v>6.2898110000000003</v>
      </c>
    </row>
    <row r="36" spans="2:9" ht="15.5" thickTop="1" thickBot="1" x14ac:dyDescent="0.4">
      <c r="B36" s="2032"/>
      <c r="C36" s="10" t="s">
        <v>2533</v>
      </c>
      <c r="D36" s="91">
        <v>28.316846368677353</v>
      </c>
      <c r="E36" s="92">
        <v>2.8316846368677356E-2</v>
      </c>
      <c r="F36" s="71"/>
      <c r="G36" s="93">
        <v>6.228835401449488</v>
      </c>
      <c r="H36" s="92">
        <v>7.4805193830653991</v>
      </c>
      <c r="I36" s="94">
        <v>0.17810761177501688</v>
      </c>
    </row>
    <row r="37" spans="2:9" ht="15.5" thickTop="1" thickBot="1" x14ac:dyDescent="0.4">
      <c r="B37" s="2032"/>
      <c r="C37" s="10" t="s">
        <v>2534</v>
      </c>
      <c r="D37" s="95">
        <v>4.5460900061812275</v>
      </c>
      <c r="E37" s="92">
        <v>4.5460900061812274E-3</v>
      </c>
      <c r="F37" s="92">
        <v>0.16054365472031801</v>
      </c>
      <c r="G37" s="71"/>
      <c r="H37" s="92">
        <v>1.2009499209634977</v>
      </c>
      <c r="I37" s="96">
        <v>2.8594046927868752E-2</v>
      </c>
    </row>
    <row r="38" spans="2:9" ht="15.5" thickTop="1" thickBot="1" x14ac:dyDescent="0.4">
      <c r="B38" s="2032"/>
      <c r="C38" s="10" t="s">
        <v>2528</v>
      </c>
      <c r="D38" s="95">
        <v>3.7854118034613733</v>
      </c>
      <c r="E38" s="97">
        <v>3.7854118034613732E-3</v>
      </c>
      <c r="F38" s="92">
        <v>0.13368055729710784</v>
      </c>
      <c r="G38" s="92">
        <v>0.83267418777772206</v>
      </c>
      <c r="H38" s="71"/>
      <c r="I38" s="96">
        <v>2.3809524800941183E-2</v>
      </c>
    </row>
    <row r="39" spans="2:9" ht="15.5" thickTop="1" thickBot="1" x14ac:dyDescent="0.4">
      <c r="B39" s="2033"/>
      <c r="C39" s="10" t="s">
        <v>2535</v>
      </c>
      <c r="D39" s="98">
        <v>158.98728912522174</v>
      </c>
      <c r="E39" s="99">
        <v>0.15898728912522173</v>
      </c>
      <c r="F39" s="100">
        <v>5.6145831726899269</v>
      </c>
      <c r="G39" s="101">
        <v>34.972314430433606</v>
      </c>
      <c r="H39" s="102">
        <v>41.999998251139822</v>
      </c>
      <c r="I39" s="83"/>
    </row>
    <row r="40" spans="2:9" ht="15" thickTop="1" x14ac:dyDescent="0.35"/>
    <row r="41" spans="2:9" ht="15" thickBot="1" x14ac:dyDescent="0.4"/>
    <row r="42" spans="2:9" ht="15.5" thickTop="1" thickBot="1" x14ac:dyDescent="0.4">
      <c r="C42" s="103"/>
      <c r="D42" s="11" t="s">
        <v>202</v>
      </c>
      <c r="E42" s="11" t="s">
        <v>2536</v>
      </c>
      <c r="F42" s="11" t="s">
        <v>2537</v>
      </c>
      <c r="G42" s="11" t="s">
        <v>2538</v>
      </c>
      <c r="H42" s="11" t="s">
        <v>2539</v>
      </c>
    </row>
    <row r="43" spans="2:9" ht="15.5" thickTop="1" thickBot="1" x14ac:dyDescent="0.4">
      <c r="B43" s="2027" t="s">
        <v>2540</v>
      </c>
      <c r="C43" s="10" t="s">
        <v>2541</v>
      </c>
      <c r="D43" s="66"/>
      <c r="E43" s="84">
        <v>1E-3</v>
      </c>
      <c r="F43" s="85">
        <v>9.8420699999999996E-4</v>
      </c>
      <c r="G43" s="85">
        <v>1.1023109999999999E-3</v>
      </c>
      <c r="H43" s="104">
        <v>2.2046236800000001</v>
      </c>
    </row>
    <row r="44" spans="2:9" ht="15.5" thickTop="1" thickBot="1" x14ac:dyDescent="0.4">
      <c r="B44" s="2028"/>
      <c r="C44" s="10" t="s">
        <v>2542</v>
      </c>
      <c r="D44" s="87">
        <v>1000</v>
      </c>
      <c r="E44" s="71"/>
      <c r="F44" s="92">
        <v>0.98420699999999994</v>
      </c>
      <c r="G44" s="92">
        <v>1.1023109999999998</v>
      </c>
      <c r="H44" s="94">
        <v>2204.6236800000001</v>
      </c>
    </row>
    <row r="45" spans="2:9" ht="15.5" thickTop="1" thickBot="1" x14ac:dyDescent="0.4">
      <c r="B45" s="2028"/>
      <c r="C45" s="10" t="s">
        <v>2543</v>
      </c>
      <c r="D45" s="105">
        <v>1016.0464211288886</v>
      </c>
      <c r="E45" s="92">
        <v>1.0160464211288887</v>
      </c>
      <c r="F45" s="71"/>
      <c r="G45" s="92">
        <v>1.1199991465210062</v>
      </c>
      <c r="H45" s="106">
        <v>2240</v>
      </c>
    </row>
    <row r="46" spans="2:9" ht="15.5" thickTop="1" thickBot="1" x14ac:dyDescent="0.4">
      <c r="B46" s="2028"/>
      <c r="C46" s="10" t="s">
        <v>2544</v>
      </c>
      <c r="D46" s="107">
        <v>907.18499588591612</v>
      </c>
      <c r="E46" s="92">
        <v>0.90718499588591617</v>
      </c>
      <c r="F46" s="92">
        <v>0.8928578232458898</v>
      </c>
      <c r="G46" s="71"/>
      <c r="H46" s="106">
        <v>2000.0015240707933</v>
      </c>
    </row>
    <row r="47" spans="2:9" ht="15.5" thickTop="1" thickBot="1" x14ac:dyDescent="0.4">
      <c r="B47" s="2029"/>
      <c r="C47" s="10" t="s">
        <v>2545</v>
      </c>
      <c r="D47" s="108">
        <v>0.45359215228968236</v>
      </c>
      <c r="E47" s="109">
        <v>4.5359215228968239E-4</v>
      </c>
      <c r="F47" s="109">
        <v>4.4642857142857141E-4</v>
      </c>
      <c r="G47" s="99">
        <v>4.9999961898259206E-4</v>
      </c>
      <c r="H47" s="83"/>
    </row>
    <row r="48" spans="2:9" ht="15" thickTop="1" x14ac:dyDescent="0.35"/>
    <row r="49" spans="2:8" ht="15" thickBot="1" x14ac:dyDescent="0.4"/>
    <row r="50" spans="2:8" ht="15.5" thickTop="1" thickBot="1" x14ac:dyDescent="0.4">
      <c r="C50" s="65"/>
      <c r="D50" s="11" t="s">
        <v>2546</v>
      </c>
      <c r="E50" s="11" t="s">
        <v>2547</v>
      </c>
      <c r="F50" s="11" t="s">
        <v>2548</v>
      </c>
      <c r="G50" s="11" t="s">
        <v>197</v>
      </c>
      <c r="H50" s="11" t="s">
        <v>2549</v>
      </c>
    </row>
    <row r="51" spans="2:8" ht="15.5" thickTop="1" thickBot="1" x14ac:dyDescent="0.4">
      <c r="B51" s="2027" t="s">
        <v>2550</v>
      </c>
      <c r="C51" s="10" t="s">
        <v>2551</v>
      </c>
      <c r="D51" s="66"/>
      <c r="E51" s="110">
        <v>3.2808398950000002</v>
      </c>
      <c r="F51" s="111">
        <v>6.2137119223733392E-4</v>
      </c>
      <c r="G51" s="112">
        <v>1E-3</v>
      </c>
      <c r="H51" s="113">
        <v>5.3995680351745805E-4</v>
      </c>
    </row>
    <row r="52" spans="2:8" ht="15.5" thickTop="1" thickBot="1" x14ac:dyDescent="0.4">
      <c r="B52" s="2028"/>
      <c r="C52" s="10" t="s">
        <v>2552</v>
      </c>
      <c r="D52" s="105">
        <v>0.30480000000121921</v>
      </c>
      <c r="E52" s="71"/>
      <c r="F52" s="88">
        <v>1.8939393939469695E-4</v>
      </c>
      <c r="G52" s="97">
        <v>3.0480000000121922E-4</v>
      </c>
      <c r="H52" s="114">
        <v>1.6457883371277953E-4</v>
      </c>
    </row>
    <row r="53" spans="2:8" ht="15.5" thickTop="1" thickBot="1" x14ac:dyDescent="0.4">
      <c r="B53" s="2028"/>
      <c r="C53" s="10" t="s">
        <v>2553</v>
      </c>
      <c r="D53" s="107">
        <v>1609.3440000000001</v>
      </c>
      <c r="E53" s="115">
        <v>5279.9999999788806</v>
      </c>
      <c r="F53" s="71"/>
      <c r="G53" s="92">
        <v>1.6093440000000001</v>
      </c>
      <c r="H53" s="94">
        <v>0.86897624200000001</v>
      </c>
    </row>
    <row r="54" spans="2:8" ht="15.5" thickTop="1" thickBot="1" x14ac:dyDescent="0.4">
      <c r="B54" s="2028"/>
      <c r="C54" s="10" t="s">
        <v>2554</v>
      </c>
      <c r="D54" s="87">
        <v>1000</v>
      </c>
      <c r="E54" s="116">
        <v>3280.8398950000001</v>
      </c>
      <c r="F54" s="92">
        <v>0.62137119223733395</v>
      </c>
      <c r="G54" s="71"/>
      <c r="H54" s="94">
        <v>0.53995680351745801</v>
      </c>
    </row>
    <row r="55" spans="2:8" ht="15.5" thickTop="1" thickBot="1" x14ac:dyDescent="0.4">
      <c r="B55" s="2029"/>
      <c r="C55" s="10" t="s">
        <v>2555</v>
      </c>
      <c r="D55" s="117">
        <v>1851.9999997882567</v>
      </c>
      <c r="E55" s="118">
        <v>6076.1154848453043</v>
      </c>
      <c r="F55" s="99">
        <v>1.1507794478919713</v>
      </c>
      <c r="G55" s="101">
        <v>1.8519999997882568</v>
      </c>
      <c r="H55" s="83"/>
    </row>
    <row r="56" spans="2:8" ht="15" thickTop="1" x14ac:dyDescent="0.35"/>
    <row r="57" spans="2:8" ht="15" thickBot="1" x14ac:dyDescent="0.4">
      <c r="D57" s="119"/>
      <c r="E57" s="119"/>
      <c r="F57" s="119"/>
      <c r="G57" s="119"/>
      <c r="H57" s="119"/>
    </row>
    <row r="58" spans="2:8" ht="15.5" thickTop="1" thickBot="1" x14ac:dyDescent="0.4">
      <c r="C58" s="65"/>
      <c r="D58" s="11" t="s">
        <v>2546</v>
      </c>
      <c r="E58" s="11" t="s">
        <v>2547</v>
      </c>
      <c r="F58" s="11" t="s">
        <v>2556</v>
      </c>
      <c r="G58" s="11" t="s">
        <v>2557</v>
      </c>
      <c r="H58" s="11" t="s">
        <v>2558</v>
      </c>
    </row>
    <row r="59" spans="2:8" ht="15.5" thickTop="1" thickBot="1" x14ac:dyDescent="0.4">
      <c r="B59" s="2027" t="s">
        <v>2550</v>
      </c>
      <c r="C59" s="10" t="s">
        <v>2551</v>
      </c>
      <c r="D59" s="66"/>
      <c r="E59" s="85">
        <v>3.2808398950000002</v>
      </c>
      <c r="F59" s="85">
        <v>39.370078739999997</v>
      </c>
      <c r="G59" s="120">
        <v>100</v>
      </c>
      <c r="H59" s="104">
        <v>1.093613298</v>
      </c>
    </row>
    <row r="60" spans="2:8" ht="15.5" thickTop="1" thickBot="1" x14ac:dyDescent="0.4">
      <c r="B60" s="2028"/>
      <c r="C60" s="10" t="s">
        <v>2552</v>
      </c>
      <c r="D60" s="105">
        <v>0.30480000000121921</v>
      </c>
      <c r="E60" s="71"/>
      <c r="F60" s="115">
        <v>12</v>
      </c>
      <c r="G60" s="92">
        <v>30.480000000121919</v>
      </c>
      <c r="H60" s="94">
        <v>0.33333333323173331</v>
      </c>
    </row>
    <row r="61" spans="2:8" ht="15.5" thickTop="1" thickBot="1" x14ac:dyDescent="0.4">
      <c r="B61" s="2028"/>
      <c r="C61" s="10" t="s">
        <v>2559</v>
      </c>
      <c r="D61" s="105">
        <v>2.5400000000101602E-2</v>
      </c>
      <c r="E61" s="92">
        <v>8.3333333333333343E-2</v>
      </c>
      <c r="F61" s="71"/>
      <c r="G61" s="92">
        <v>2.5400000000101604</v>
      </c>
      <c r="H61" s="94">
        <v>2.7777777769311111E-2</v>
      </c>
    </row>
    <row r="62" spans="2:8" ht="15.5" thickTop="1" thickBot="1" x14ac:dyDescent="0.4">
      <c r="B62" s="2028"/>
      <c r="C62" s="10" t="s">
        <v>2560</v>
      </c>
      <c r="D62" s="107">
        <v>0.01</v>
      </c>
      <c r="E62" s="92">
        <v>3.2808398950000005E-2</v>
      </c>
      <c r="F62" s="92">
        <v>0.39370078739999997</v>
      </c>
      <c r="G62" s="71"/>
      <c r="H62" s="94">
        <v>1.0936132979999999E-2</v>
      </c>
    </row>
    <row r="63" spans="2:8" ht="15.5" thickTop="1" thickBot="1" x14ac:dyDescent="0.4">
      <c r="B63" s="2029"/>
      <c r="C63" s="10" t="s">
        <v>2561</v>
      </c>
      <c r="D63" s="108">
        <v>0.91440000028236679</v>
      </c>
      <c r="E63" s="102">
        <v>3.0000000009144006</v>
      </c>
      <c r="F63" s="102">
        <v>36.000000010972798</v>
      </c>
      <c r="G63" s="99">
        <v>91.440000028236682</v>
      </c>
      <c r="H63" s="83"/>
    </row>
    <row r="64" spans="2:8" ht="15" thickTop="1" x14ac:dyDescent="0.35"/>
  </sheetData>
  <sheetProtection algorithmName="SHA-512" hashValue="y9Fw4GpdFN9m1R1j13BXEOUkZkKlJ3ka3pEsD2cbK1Hjt289DkQTjNqcXbOakDVAytkSh9L7sznhlOEEYDqnyQ==" saltValue="uDmwdX3KYByPbzv55295KQ==" spinCount="100000" sheet="1" objects="1" scenarios="1"/>
  <mergeCells count="13">
    <mergeCell ref="B12:M12"/>
    <mergeCell ref="A1:F1"/>
    <mergeCell ref="A2:F2"/>
    <mergeCell ref="B6:M6"/>
    <mergeCell ref="B8:M8"/>
    <mergeCell ref="B11:M11"/>
    <mergeCell ref="B59:B63"/>
    <mergeCell ref="B13:M13"/>
    <mergeCell ref="B18:B22"/>
    <mergeCell ref="B26:B30"/>
    <mergeCell ref="B34:B39"/>
    <mergeCell ref="B43:B47"/>
    <mergeCell ref="B51:B5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46AFE-9A3A-4CF9-9673-84D00790E3CC}">
  <sheetPr codeName="Sheet26"/>
  <dimension ref="A1:B64"/>
  <sheetViews>
    <sheetView topLeftCell="A43" workbookViewId="0">
      <selection activeCell="D13" sqref="D13"/>
    </sheetView>
  </sheetViews>
  <sheetFormatPr defaultColWidth="8.81640625" defaultRowHeight="14.5" x14ac:dyDescent="0.35"/>
  <cols>
    <col min="1" max="1" width="37" customWidth="1"/>
    <col min="2" max="2" width="123" customWidth="1"/>
  </cols>
  <sheetData>
    <row r="1" spans="1:2" ht="15" thickBot="1" x14ac:dyDescent="0.4">
      <c r="A1" s="1531" t="s">
        <v>2562</v>
      </c>
      <c r="B1" s="1532" t="s">
        <v>2563</v>
      </c>
    </row>
    <row r="2" spans="1:2" ht="15" thickBot="1" x14ac:dyDescent="0.4">
      <c r="A2" s="1533" t="s">
        <v>2564</v>
      </c>
      <c r="B2" s="1534" t="s">
        <v>2565</v>
      </c>
    </row>
    <row r="3" spans="1:2" x14ac:dyDescent="0.35">
      <c r="A3" s="1535" t="s">
        <v>2566</v>
      </c>
      <c r="B3" s="1536" t="s">
        <v>2567</v>
      </c>
    </row>
    <row r="4" spans="1:2" ht="15" thickBot="1" x14ac:dyDescent="0.4">
      <c r="A4" s="1537"/>
      <c r="B4" s="1538" t="s">
        <v>2568</v>
      </c>
    </row>
    <row r="5" spans="1:2" x14ac:dyDescent="0.35">
      <c r="A5" s="1535" t="s">
        <v>2569</v>
      </c>
      <c r="B5" s="1536" t="s">
        <v>1258</v>
      </c>
    </row>
    <row r="6" spans="1:2" x14ac:dyDescent="0.35">
      <c r="A6" s="1539"/>
      <c r="B6" s="1540" t="s">
        <v>1256</v>
      </c>
    </row>
    <row r="7" spans="1:2" ht="15" thickBot="1" x14ac:dyDescent="0.4">
      <c r="A7" s="1537"/>
      <c r="B7" s="1541" t="s">
        <v>1260</v>
      </c>
    </row>
    <row r="8" spans="1:2" x14ac:dyDescent="0.35">
      <c r="A8" s="1535" t="s">
        <v>1656</v>
      </c>
      <c r="B8" s="1542" t="s">
        <v>2238</v>
      </c>
    </row>
    <row r="9" spans="1:2" x14ac:dyDescent="0.35">
      <c r="A9" s="1539"/>
      <c r="B9" s="1543" t="s">
        <v>2239</v>
      </c>
    </row>
    <row r="10" spans="1:2" x14ac:dyDescent="0.35">
      <c r="A10" s="1539"/>
      <c r="B10" s="1543" t="s">
        <v>2240</v>
      </c>
    </row>
    <row r="11" spans="1:2" x14ac:dyDescent="0.35">
      <c r="A11" s="1539"/>
      <c r="B11" s="1543" t="s">
        <v>2241</v>
      </c>
    </row>
    <row r="12" spans="1:2" x14ac:dyDescent="0.35">
      <c r="A12" s="1539"/>
      <c r="B12" s="1543" t="s">
        <v>2242</v>
      </c>
    </row>
    <row r="13" spans="1:2" x14ac:dyDescent="0.35">
      <c r="A13" s="1539"/>
      <c r="B13" s="1543" t="s">
        <v>2243</v>
      </c>
    </row>
    <row r="14" spans="1:2" x14ac:dyDescent="0.35">
      <c r="A14" s="1539"/>
      <c r="B14" s="1543" t="s">
        <v>2245</v>
      </c>
    </row>
    <row r="15" spans="1:2" x14ac:dyDescent="0.35">
      <c r="A15" s="1539"/>
      <c r="B15" s="1543" t="s">
        <v>2247</v>
      </c>
    </row>
    <row r="16" spans="1:2" x14ac:dyDescent="0.35">
      <c r="A16" s="1539"/>
      <c r="B16" s="1543" t="s">
        <v>2244</v>
      </c>
    </row>
    <row r="17" spans="1:2" x14ac:dyDescent="0.35">
      <c r="A17" s="1539"/>
      <c r="B17" s="1543" t="s">
        <v>2246</v>
      </c>
    </row>
    <row r="18" spans="1:2" ht="15" thickBot="1" x14ac:dyDescent="0.4">
      <c r="A18" s="1537"/>
      <c r="B18" s="1544" t="s">
        <v>2248</v>
      </c>
    </row>
    <row r="19" spans="1:2" x14ac:dyDescent="0.35">
      <c r="A19" s="1535" t="s">
        <v>260</v>
      </c>
      <c r="B19" s="1542" t="s">
        <v>2378</v>
      </c>
    </row>
    <row r="20" spans="1:2" x14ac:dyDescent="0.35">
      <c r="A20" s="1539"/>
      <c r="B20" s="1543" t="s">
        <v>2382</v>
      </c>
    </row>
    <row r="21" spans="1:2" x14ac:dyDescent="0.35">
      <c r="A21" s="1539"/>
      <c r="B21" s="1543" t="s">
        <v>2243</v>
      </c>
    </row>
    <row r="22" spans="1:2" x14ac:dyDescent="0.35">
      <c r="A22" s="1539"/>
      <c r="B22" s="1543" t="s">
        <v>2310</v>
      </c>
    </row>
    <row r="23" spans="1:2" x14ac:dyDescent="0.35">
      <c r="A23" s="1539"/>
      <c r="B23" s="1543" t="s">
        <v>2570</v>
      </c>
    </row>
    <row r="24" spans="1:2" ht="15" thickBot="1" x14ac:dyDescent="0.4">
      <c r="A24" s="1537"/>
      <c r="B24" s="1544" t="s">
        <v>2571</v>
      </c>
    </row>
    <row r="25" spans="1:2" x14ac:dyDescent="0.35">
      <c r="A25" s="1535" t="s">
        <v>259</v>
      </c>
      <c r="B25" s="1542" t="s">
        <v>2278</v>
      </c>
    </row>
    <row r="26" spans="1:2" x14ac:dyDescent="0.35">
      <c r="A26" s="1539"/>
      <c r="B26" s="1543" t="s">
        <v>2280</v>
      </c>
    </row>
    <row r="27" spans="1:2" x14ac:dyDescent="0.35">
      <c r="A27" s="1539"/>
      <c r="B27" s="1543" t="s">
        <v>2282</v>
      </c>
    </row>
    <row r="28" spans="1:2" x14ac:dyDescent="0.35">
      <c r="A28" s="1539"/>
      <c r="B28" s="1543" t="s">
        <v>2284</v>
      </c>
    </row>
    <row r="29" spans="1:2" ht="15" thickBot="1" x14ac:dyDescent="0.4">
      <c r="A29" s="1537"/>
      <c r="B29" s="1544" t="s">
        <v>2286</v>
      </c>
    </row>
    <row r="30" spans="1:2" ht="15" thickBot="1" x14ac:dyDescent="0.4">
      <c r="A30" s="1533" t="s">
        <v>257</v>
      </c>
      <c r="B30" s="1545" t="s">
        <v>2249</v>
      </c>
    </row>
    <row r="31" spans="1:2" x14ac:dyDescent="0.35">
      <c r="A31" s="1535" t="s">
        <v>2572</v>
      </c>
      <c r="B31" s="1542" t="s">
        <v>2420</v>
      </c>
    </row>
    <row r="32" spans="1:2" x14ac:dyDescent="0.35">
      <c r="A32" s="1539"/>
      <c r="B32" s="1543" t="s">
        <v>2421</v>
      </c>
    </row>
    <row r="33" spans="1:2" x14ac:dyDescent="0.35">
      <c r="A33" s="1539"/>
      <c r="B33" s="1543" t="s">
        <v>2425</v>
      </c>
    </row>
    <row r="34" spans="1:2" ht="15" thickBot="1" x14ac:dyDescent="0.4">
      <c r="A34" s="1537"/>
      <c r="B34" s="1544" t="s">
        <v>2422</v>
      </c>
    </row>
    <row r="35" spans="1:2" x14ac:dyDescent="0.35">
      <c r="A35" s="1535" t="s">
        <v>2573</v>
      </c>
      <c r="B35" s="1536" t="s">
        <v>2574</v>
      </c>
    </row>
    <row r="36" spans="1:2" x14ac:dyDescent="0.35">
      <c r="A36" s="1546"/>
      <c r="B36" s="1543" t="s">
        <v>2575</v>
      </c>
    </row>
    <row r="37" spans="1:2" x14ac:dyDescent="0.35">
      <c r="A37" s="1546"/>
      <c r="B37" s="1543" t="s">
        <v>1209</v>
      </c>
    </row>
    <row r="38" spans="1:2" x14ac:dyDescent="0.35">
      <c r="A38" s="1546"/>
      <c r="B38" s="1547" t="s">
        <v>2576</v>
      </c>
    </row>
    <row r="39" spans="1:2" x14ac:dyDescent="0.35">
      <c r="A39" s="1546"/>
      <c r="B39" s="1543" t="s">
        <v>1215</v>
      </c>
    </row>
    <row r="40" spans="1:2" x14ac:dyDescent="0.35">
      <c r="A40" s="1546"/>
      <c r="B40" s="1543" t="s">
        <v>1217</v>
      </c>
    </row>
    <row r="41" spans="1:2" x14ac:dyDescent="0.35">
      <c r="A41" s="1546"/>
      <c r="B41" s="1543" t="s">
        <v>1219</v>
      </c>
    </row>
    <row r="42" spans="1:2" x14ac:dyDescent="0.35">
      <c r="A42" s="1546"/>
      <c r="B42" s="1543" t="s">
        <v>1221</v>
      </c>
    </row>
    <row r="43" spans="1:2" x14ac:dyDescent="0.35">
      <c r="A43" s="1546"/>
      <c r="B43" s="1543" t="s">
        <v>1221</v>
      </c>
    </row>
    <row r="44" spans="1:2" x14ac:dyDescent="0.35">
      <c r="A44" s="1546"/>
      <c r="B44" s="1547" t="s">
        <v>2577</v>
      </c>
    </row>
    <row r="45" spans="1:2" x14ac:dyDescent="0.35">
      <c r="A45" s="1546"/>
      <c r="B45" s="1543" t="s">
        <v>2578</v>
      </c>
    </row>
    <row r="46" spans="1:2" x14ac:dyDescent="0.35">
      <c r="A46" s="1546"/>
      <c r="B46" s="1543" t="s">
        <v>1228</v>
      </c>
    </row>
    <row r="47" spans="1:2" x14ac:dyDescent="0.35">
      <c r="A47" s="1546"/>
      <c r="B47" s="1547" t="s">
        <v>2579</v>
      </c>
    </row>
    <row r="48" spans="1:2" x14ac:dyDescent="0.35">
      <c r="A48" s="1546"/>
      <c r="B48" s="1547" t="s">
        <v>2580</v>
      </c>
    </row>
    <row r="49" spans="1:2" x14ac:dyDescent="0.35">
      <c r="A49" s="1546"/>
      <c r="B49" s="1543" t="s">
        <v>2581</v>
      </c>
    </row>
    <row r="50" spans="1:2" x14ac:dyDescent="0.35">
      <c r="A50" s="1546"/>
      <c r="B50" s="1543" t="s">
        <v>1236</v>
      </c>
    </row>
    <row r="51" spans="1:2" x14ac:dyDescent="0.35">
      <c r="A51" s="1546"/>
      <c r="B51" s="1547" t="s">
        <v>2582</v>
      </c>
    </row>
    <row r="52" spans="1:2" x14ac:dyDescent="0.35">
      <c r="A52" s="1546"/>
      <c r="B52" s="1547" t="s">
        <v>2583</v>
      </c>
    </row>
    <row r="53" spans="1:2" ht="21" customHeight="1" x14ac:dyDescent="0.35">
      <c r="A53" s="1546"/>
      <c r="B53" s="1548" t="s">
        <v>2584</v>
      </c>
    </row>
    <row r="54" spans="1:2" x14ac:dyDescent="0.35">
      <c r="A54" s="1546"/>
      <c r="B54" s="1543" t="s">
        <v>1244</v>
      </c>
    </row>
    <row r="55" spans="1:2" x14ac:dyDescent="0.35">
      <c r="A55" s="1546"/>
      <c r="B55" s="1543" t="s">
        <v>1246</v>
      </c>
    </row>
    <row r="56" spans="1:2" ht="15" thickBot="1" x14ac:dyDescent="0.4">
      <c r="A56" s="1549"/>
      <c r="B56" s="1550" t="s">
        <v>2585</v>
      </c>
    </row>
    <row r="57" spans="1:2" ht="29" x14ac:dyDescent="0.35">
      <c r="A57" s="1551" t="s">
        <v>2586</v>
      </c>
      <c r="B57" s="1542" t="s">
        <v>514</v>
      </c>
    </row>
    <row r="58" spans="1:2" x14ac:dyDescent="0.35">
      <c r="A58" s="1546"/>
      <c r="B58" s="1543" t="s">
        <v>739</v>
      </c>
    </row>
    <row r="59" spans="1:2" x14ac:dyDescent="0.35">
      <c r="A59" s="1546"/>
      <c r="B59" s="1543" t="s">
        <v>2587</v>
      </c>
    </row>
    <row r="60" spans="1:2" x14ac:dyDescent="0.35">
      <c r="A60" s="1546"/>
      <c r="B60" s="1543" t="s">
        <v>2588</v>
      </c>
    </row>
    <row r="61" spans="1:2" x14ac:dyDescent="0.35">
      <c r="A61" s="1546"/>
      <c r="B61" s="1543" t="s">
        <v>847</v>
      </c>
    </row>
    <row r="62" spans="1:2" x14ac:dyDescent="0.35">
      <c r="A62" s="1546"/>
      <c r="B62" s="1543" t="s">
        <v>847</v>
      </c>
    </row>
    <row r="63" spans="1:2" x14ac:dyDescent="0.35">
      <c r="A63" s="1546"/>
      <c r="B63" s="1543" t="s">
        <v>2589</v>
      </c>
    </row>
    <row r="64" spans="1:2" ht="15" thickBot="1" x14ac:dyDescent="0.4">
      <c r="A64" s="1552"/>
      <c r="B64" s="1544" t="s">
        <v>2590</v>
      </c>
    </row>
  </sheetData>
  <sheetProtection algorithmName="SHA-512" hashValue="9rKMk7jqKr9vTQ7QxijKp3O6dPWws7z6x/gyDuEkvFt0EknCgrGeQMqR0dxf6KV53qeMAZIoYa7+BT6DIN9VgQ==" saltValue="VSTPoB0AdoqBwMYTbMzkLw==" spinCount="100000" sheet="1" objects="1" scenarios="1"/>
  <hyperlinks>
    <hyperlink ref="B2" r:id="rId1" xr:uid="{4845B0E5-5344-41A9-A89E-B49AA034061D}"/>
    <hyperlink ref="B5" r:id="rId2" xr:uid="{8B4BD22F-612A-478F-9F3C-2903D8E0136B}"/>
    <hyperlink ref="B3" r:id="rId3" display="https://unfccc.int/sites/default/files/resource/Harmonized_Grid_Emission_factor_data_set.pdf" xr:uid="{3D3D5E25-AE81-4F68-A568-032DA8CCF13C}"/>
    <hyperlink ref="B4" r:id="rId4" location="tab-googlechartid_googlechartid_googlechartid_chart_1111" display="https://www.eea.europa.eu/data-and-maps/daviz/co2-emission-intensity-9/ - tab-googlechartid_googlechartid_googlechartid_chart_1111" xr:uid="{27397C14-8719-405D-884B-A19BD20555A2}"/>
    <hyperlink ref="B35" r:id="rId5" xr:uid="{C3B5167A-882E-46ED-83EC-02E75B512B23}"/>
    <hyperlink ref="B38" r:id="rId6" xr:uid="{D9554560-2CB3-432C-9F81-8454EDC2D1BA}"/>
    <hyperlink ref="B44" r:id="rId7" xr:uid="{27538CC7-1E66-4499-B65D-843A987B3626}"/>
    <hyperlink ref="B47" r:id="rId8" xr:uid="{C8A944D8-699E-4FF2-BAE7-AAB09BA11910}"/>
    <hyperlink ref="B48" r:id="rId9" xr:uid="{85EE49B8-38D5-4008-A612-28E7DAEF4E79}"/>
    <hyperlink ref="B51" r:id="rId10" xr:uid="{FDEBE623-0314-4F25-AF3D-D3FE0543DA0B}"/>
    <hyperlink ref="B52" r:id="rId11" xr:uid="{8F25C3C5-C604-4F3F-8F60-8419F432E081}"/>
    <hyperlink ref="B53" r:id="rId12" xr:uid="{77CC5B14-02CE-46CE-B34F-407694CEDDE4}"/>
    <hyperlink ref="B56" r:id="rId13" xr:uid="{5A3305CC-B79D-4445-9BC4-DC90978DF66F}"/>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7EA95CF940D844A8A2B7A51D1527585" ma:contentTypeVersion="14" ma:contentTypeDescription="Create a new document." ma:contentTypeScope="" ma:versionID="ebdab3e398bef75ffb073f11d6aa6224">
  <xsd:schema xmlns:xsd="http://www.w3.org/2001/XMLSchema" xmlns:xs="http://www.w3.org/2001/XMLSchema" xmlns:p="http://schemas.microsoft.com/office/2006/metadata/properties" xmlns:ns3="06dca452-c0d1-4b14-afe2-ac42f9e523cd" xmlns:ns4="6312a270-31df-4abe-99ed-f85156d351da" targetNamespace="http://schemas.microsoft.com/office/2006/metadata/properties" ma:root="true" ma:fieldsID="c5356efae7148826ed9caa1157342a29" ns3:_="" ns4:_="">
    <xsd:import namespace="06dca452-c0d1-4b14-afe2-ac42f9e523cd"/>
    <xsd:import namespace="6312a270-31df-4abe-99ed-f85156d351da"/>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DateTaken" minOccurs="0"/>
                <xsd:element ref="ns3:MediaServiceOCR" minOccurs="0"/>
                <xsd:element ref="ns3:MediaServiceLocation" minOccurs="0"/>
                <xsd:element ref="ns4:SharedWithUsers" minOccurs="0"/>
                <xsd:element ref="ns4:SharedWithDetails" minOccurs="0"/>
                <xsd:element ref="ns4:SharingHintHash" minOccurs="0"/>
                <xsd:element ref="ns3:MediaServiceGenerationTime" minOccurs="0"/>
                <xsd:element ref="ns3:MediaServiceEventHashCode"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6dca452-c0d1-4b14-afe2-ac42f9e523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DateTaken" ma:index="11" nillable="true" ma:displayName="MediaServiceDateTaken" ma:hidden="true" ma:internalName="MediaServiceDateTaken"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312a270-31df-4abe-99ed-f85156d351d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17E7E91-72C1-4D5F-BEF5-6CCADC625BBB}">
  <ds:schemaRefs>
    <ds:schemaRef ds:uri="http://schemas.microsoft.com/sharepoint/v3/contenttype/forms"/>
  </ds:schemaRefs>
</ds:datastoreItem>
</file>

<file path=customXml/itemProps2.xml><?xml version="1.0" encoding="utf-8"?>
<ds:datastoreItem xmlns:ds="http://schemas.openxmlformats.org/officeDocument/2006/customXml" ds:itemID="{8460BC3D-98CA-4D68-ADA8-5D25DEB03F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6dca452-c0d1-4b14-afe2-ac42f9e523cd"/>
    <ds:schemaRef ds:uri="6312a270-31df-4abe-99ed-f85156d351d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DC89AB2-E833-4C10-B419-92EDE330C834}">
  <ds:schemaRefs>
    <ds:schemaRef ds:uri="http://purl.org/dc/terms/"/>
    <ds:schemaRef ds:uri="http://www.w3.org/XML/1998/namespace"/>
    <ds:schemaRef ds:uri="06dca452-c0d1-4b14-afe2-ac42f9e523cd"/>
    <ds:schemaRef ds:uri="http://purl.org/dc/dcmitype/"/>
    <ds:schemaRef ds:uri="http://schemas.microsoft.com/office/2006/documentManagement/types"/>
    <ds:schemaRef ds:uri="http://purl.org/dc/elements/1.1/"/>
    <ds:schemaRef ds:uri="6312a270-31df-4abe-99ed-f85156d351da"/>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10</vt:i4>
      </vt:variant>
    </vt:vector>
  </HeadingPairs>
  <TitlesOfParts>
    <vt:vector size="45" baseType="lpstr">
      <vt:lpstr>Cover Sheet</vt:lpstr>
      <vt:lpstr>Changes since last version</vt:lpstr>
      <vt:lpstr>$ Conversion</vt:lpstr>
      <vt:lpstr>Totals</vt:lpstr>
      <vt:lpstr>Supply Chain Totals</vt:lpstr>
      <vt:lpstr>Building Totals &amp; Benchmarking</vt:lpstr>
      <vt:lpstr>Error Checking</vt:lpstr>
      <vt:lpstr>Action Tracker</vt:lpstr>
      <vt:lpstr>Quickstart_T1</vt:lpstr>
      <vt:lpstr>Buildings</vt:lpstr>
      <vt:lpstr>Energy</vt:lpstr>
      <vt:lpstr>Vehicle-Fuel</vt:lpstr>
      <vt:lpstr>Vehicle-Distance</vt:lpstr>
      <vt:lpstr>Travel-Other vehicles</vt:lpstr>
      <vt:lpstr>Anaesthetic gases</vt:lpstr>
      <vt:lpstr>Refrigerant gases</vt:lpstr>
      <vt:lpstr>Water </vt:lpstr>
      <vt:lpstr>Waste</vt:lpstr>
      <vt:lpstr>Inhalers</vt:lpstr>
      <vt:lpstr>Contractor Logistics</vt:lpstr>
      <vt:lpstr>Construction materials</vt:lpstr>
      <vt:lpstr>Procurement_T2</vt:lpstr>
      <vt:lpstr>Procurement lookup</vt:lpstr>
      <vt:lpstr>T3 calcs</vt:lpstr>
      <vt:lpstr>Procurement_T3</vt:lpstr>
      <vt:lpstr>Spend mapping</vt:lpstr>
      <vt:lpstr>Carbon factors</vt:lpstr>
      <vt:lpstr>Fuel properties</vt:lpstr>
      <vt:lpstr>Anaesthetics properties</vt:lpstr>
      <vt:lpstr>Refrigerant properties</vt:lpstr>
      <vt:lpstr>Waste properties</vt:lpstr>
      <vt:lpstr>Inhaler properties</vt:lpstr>
      <vt:lpstr>Procurement properties_T1</vt:lpstr>
      <vt:lpstr>Unit Conversions</vt:lpstr>
      <vt:lpstr>Reference data</vt:lpstr>
      <vt:lpstr>'Anaesthetic gases'!DataValidationRange</vt:lpstr>
      <vt:lpstr>'Construction materials'!DataValidationRange</vt:lpstr>
      <vt:lpstr>Energy!DataValidationRange</vt:lpstr>
      <vt:lpstr>Inhalers!DataValidationRange</vt:lpstr>
      <vt:lpstr>'Refrigerant gases'!DataValidationRange</vt:lpstr>
      <vt:lpstr>'Travel-Other vehicles'!DataValidationRange</vt:lpstr>
      <vt:lpstr>'Vehicle-Distance'!DataValidationRange</vt:lpstr>
      <vt:lpstr>'Vehicle-Fuel'!DataValidationRange</vt:lpstr>
      <vt:lpstr>Waste!DataValidationRange</vt:lpstr>
      <vt:lpstr>'Water '!DataValidationRange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jerome baddley</dc:creator>
  <cp:keywords/>
  <dc:description/>
  <cp:lastModifiedBy>Craig Parker</cp:lastModifiedBy>
  <cp:revision/>
  <dcterms:created xsi:type="dcterms:W3CDTF">2020-09-08T09:52:35Z</dcterms:created>
  <dcterms:modified xsi:type="dcterms:W3CDTF">2025-01-15T07:36:41Z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0x010100A7EA95CF940D844A8A2B7A51D1527585</vt:lpwstr>
  </property>
</Properties>
</file>