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SH &amp; DEEPS\Downloads\"/>
    </mc:Choice>
  </mc:AlternateContent>
  <bookViews>
    <workbookView xWindow="0" yWindow="0" windowWidth="23040" windowHeight="9384"/>
  </bookViews>
  <sheets>
    <sheet name="INDEX-NIFTY_500" sheetId="1" r:id="rId1"/>
    <sheet name="Investments" sheetId="2" r:id="rId2"/>
    <sheet name="Trades" sheetId="3" r:id="rId3"/>
  </sheets>
  <calcPr calcId="152511"/>
</workbook>
</file>

<file path=xl/calcChain.xml><?xml version="1.0" encoding="utf-8"?>
<calcChain xmlns="http://schemas.openxmlformats.org/spreadsheetml/2006/main">
  <c r="F502" i="1" l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D10" i="2"/>
  <c r="D8" i="2"/>
  <c r="D6" i="2"/>
  <c r="D4" i="2"/>
  <c r="D2" i="2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D9" i="2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F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D7" i="2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E383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D5" i="2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D3" i="2"/>
  <c r="G487" i="1"/>
  <c r="G471" i="1"/>
  <c r="G455" i="1"/>
  <c r="G439" i="1"/>
  <c r="G423" i="1"/>
  <c r="G407" i="1"/>
  <c r="G391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G499" i="1"/>
  <c r="G483" i="1"/>
  <c r="G467" i="1"/>
  <c r="G451" i="1"/>
  <c r="G435" i="1"/>
  <c r="G419" i="1"/>
  <c r="G403" i="1"/>
  <c r="G387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495" i="1"/>
  <c r="G479" i="1"/>
  <c r="G463" i="1"/>
  <c r="G447" i="1"/>
  <c r="G431" i="1"/>
  <c r="G415" i="1"/>
  <c r="G399" i="1"/>
  <c r="G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G491" i="1"/>
  <c r="G427" i="1"/>
  <c r="F378" i="1"/>
  <c r="F362" i="1"/>
  <c r="F346" i="1"/>
  <c r="F330" i="1"/>
  <c r="F314" i="1"/>
  <c r="F298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7" i="1"/>
  <c r="E205" i="1"/>
  <c r="H203" i="1"/>
  <c r="F202" i="1"/>
  <c r="E201" i="1"/>
  <c r="H199" i="1"/>
  <c r="F198" i="1"/>
  <c r="E197" i="1"/>
  <c r="H195" i="1"/>
  <c r="F194" i="1"/>
  <c r="E193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P72" i="1"/>
  <c r="L72" i="1"/>
  <c r="F72" i="1"/>
  <c r="N71" i="1"/>
  <c r="H71" i="1"/>
  <c r="P70" i="1"/>
  <c r="L70" i="1"/>
  <c r="F70" i="1"/>
  <c r="N69" i="1"/>
  <c r="H69" i="1"/>
  <c r="P68" i="1"/>
  <c r="L68" i="1"/>
  <c r="F68" i="1"/>
  <c r="N67" i="1"/>
  <c r="H67" i="1"/>
  <c r="P66" i="1"/>
  <c r="L66" i="1"/>
  <c r="F66" i="1"/>
  <c r="N65" i="1"/>
  <c r="H65" i="1"/>
  <c r="P64" i="1"/>
  <c r="L64" i="1"/>
  <c r="F64" i="1"/>
  <c r="N63" i="1"/>
  <c r="H63" i="1"/>
  <c r="P62" i="1"/>
  <c r="L62" i="1"/>
  <c r="F62" i="1"/>
  <c r="N61" i="1"/>
  <c r="H61" i="1"/>
  <c r="P60" i="1"/>
  <c r="L60" i="1"/>
  <c r="F60" i="1"/>
  <c r="N59" i="1"/>
  <c r="H59" i="1"/>
  <c r="P58" i="1"/>
  <c r="L58" i="1"/>
  <c r="F58" i="1"/>
  <c r="N57" i="1"/>
  <c r="H57" i="1"/>
  <c r="P56" i="1"/>
  <c r="L56" i="1"/>
  <c r="F56" i="1"/>
  <c r="N55" i="1"/>
  <c r="H55" i="1"/>
  <c r="P54" i="1"/>
  <c r="L54" i="1"/>
  <c r="F54" i="1"/>
  <c r="N53" i="1"/>
  <c r="H53" i="1"/>
  <c r="P52" i="1"/>
  <c r="L52" i="1"/>
  <c r="F52" i="1"/>
  <c r="N51" i="1"/>
  <c r="H51" i="1"/>
  <c r="P50" i="1"/>
  <c r="L50" i="1"/>
  <c r="F50" i="1"/>
  <c r="N49" i="1"/>
  <c r="H49" i="1"/>
  <c r="P48" i="1"/>
  <c r="L48" i="1"/>
  <c r="F48" i="1"/>
  <c r="N47" i="1"/>
  <c r="H47" i="1"/>
  <c r="P46" i="1"/>
  <c r="L46" i="1"/>
  <c r="F46" i="1"/>
  <c r="N45" i="1"/>
  <c r="H45" i="1"/>
  <c r="P44" i="1"/>
  <c r="L44" i="1"/>
  <c r="F44" i="1"/>
  <c r="N43" i="1"/>
  <c r="H43" i="1"/>
  <c r="P42" i="1"/>
  <c r="L42" i="1"/>
  <c r="F42" i="1"/>
  <c r="N41" i="1"/>
  <c r="H41" i="1"/>
  <c r="P40" i="1"/>
  <c r="L40" i="1"/>
  <c r="F40" i="1"/>
  <c r="N39" i="1"/>
  <c r="H39" i="1"/>
  <c r="P38" i="1"/>
  <c r="L38" i="1"/>
  <c r="F38" i="1"/>
  <c r="N37" i="1"/>
  <c r="H37" i="1"/>
  <c r="P36" i="1"/>
  <c r="L36" i="1"/>
  <c r="F36" i="1"/>
  <c r="N35" i="1"/>
  <c r="H35" i="1"/>
  <c r="P34" i="1"/>
  <c r="L34" i="1"/>
  <c r="G475" i="1"/>
  <c r="G411" i="1"/>
  <c r="F374" i="1"/>
  <c r="F358" i="1"/>
  <c r="F342" i="1"/>
  <c r="F326" i="1"/>
  <c r="F310" i="1"/>
  <c r="F294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H206" i="1"/>
  <c r="H204" i="1"/>
  <c r="F203" i="1"/>
  <c r="E202" i="1"/>
  <c r="H200" i="1"/>
  <c r="F199" i="1"/>
  <c r="E198" i="1"/>
  <c r="H196" i="1"/>
  <c r="F195" i="1"/>
  <c r="E194" i="1"/>
  <c r="H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O72" i="1"/>
  <c r="K72" i="1"/>
  <c r="E72" i="1"/>
  <c r="M71" i="1"/>
  <c r="G71" i="1"/>
  <c r="O70" i="1"/>
  <c r="K70" i="1"/>
  <c r="E70" i="1"/>
  <c r="M69" i="1"/>
  <c r="G69" i="1"/>
  <c r="O68" i="1"/>
  <c r="K68" i="1"/>
  <c r="E68" i="1"/>
  <c r="M67" i="1"/>
  <c r="G67" i="1"/>
  <c r="O66" i="1"/>
  <c r="K66" i="1"/>
  <c r="E66" i="1"/>
  <c r="M65" i="1"/>
  <c r="G65" i="1"/>
  <c r="O64" i="1"/>
  <c r="K64" i="1"/>
  <c r="E64" i="1"/>
  <c r="M63" i="1"/>
  <c r="G63" i="1"/>
  <c r="O62" i="1"/>
  <c r="K62" i="1"/>
  <c r="E62" i="1"/>
  <c r="M61" i="1"/>
  <c r="G61" i="1"/>
  <c r="O60" i="1"/>
  <c r="K60" i="1"/>
  <c r="E60" i="1"/>
  <c r="M59" i="1"/>
  <c r="G59" i="1"/>
  <c r="O58" i="1"/>
  <c r="K58" i="1"/>
  <c r="E58" i="1"/>
  <c r="M57" i="1"/>
  <c r="G57" i="1"/>
  <c r="O56" i="1"/>
  <c r="K56" i="1"/>
  <c r="E56" i="1"/>
  <c r="M55" i="1"/>
  <c r="G55" i="1"/>
  <c r="O54" i="1"/>
  <c r="K54" i="1"/>
  <c r="E54" i="1"/>
  <c r="M53" i="1"/>
  <c r="G53" i="1"/>
  <c r="O52" i="1"/>
  <c r="K52" i="1"/>
  <c r="E52" i="1"/>
  <c r="M51" i="1"/>
  <c r="G51" i="1"/>
  <c r="O50" i="1"/>
  <c r="K50" i="1"/>
  <c r="E50" i="1"/>
  <c r="M49" i="1"/>
  <c r="G49" i="1"/>
  <c r="O48" i="1"/>
  <c r="K48" i="1"/>
  <c r="E48" i="1"/>
  <c r="M47" i="1"/>
  <c r="G47" i="1"/>
  <c r="O46" i="1"/>
  <c r="K46" i="1"/>
  <c r="E46" i="1"/>
  <c r="M45" i="1"/>
  <c r="G45" i="1"/>
  <c r="O44" i="1"/>
  <c r="K44" i="1"/>
  <c r="E44" i="1"/>
  <c r="M43" i="1"/>
  <c r="G43" i="1"/>
  <c r="O42" i="1"/>
  <c r="K42" i="1"/>
  <c r="E42" i="1"/>
  <c r="M41" i="1"/>
  <c r="G41" i="1"/>
  <c r="O40" i="1"/>
  <c r="K40" i="1"/>
  <c r="E40" i="1"/>
  <c r="M39" i="1"/>
  <c r="G39" i="1"/>
  <c r="O38" i="1"/>
  <c r="K38" i="1"/>
  <c r="E38" i="1"/>
  <c r="G459" i="1"/>
  <c r="G395" i="1"/>
  <c r="F370" i="1"/>
  <c r="F354" i="1"/>
  <c r="F338" i="1"/>
  <c r="F322" i="1"/>
  <c r="F306" i="1"/>
  <c r="F290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6" i="1"/>
  <c r="F204" i="1"/>
  <c r="E203" i="1"/>
  <c r="H201" i="1"/>
  <c r="F200" i="1"/>
  <c r="E199" i="1"/>
  <c r="H197" i="1"/>
  <c r="F196" i="1"/>
  <c r="E195" i="1"/>
  <c r="H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N72" i="1"/>
  <c r="H72" i="1"/>
  <c r="P71" i="1"/>
  <c r="L71" i="1"/>
  <c r="F71" i="1"/>
  <c r="N70" i="1"/>
  <c r="H70" i="1"/>
  <c r="P69" i="1"/>
  <c r="L69" i="1"/>
  <c r="F69" i="1"/>
  <c r="N68" i="1"/>
  <c r="H68" i="1"/>
  <c r="P67" i="1"/>
  <c r="L67" i="1"/>
  <c r="F67" i="1"/>
  <c r="N66" i="1"/>
  <c r="H66" i="1"/>
  <c r="P65" i="1"/>
  <c r="L65" i="1"/>
  <c r="F65" i="1"/>
  <c r="N64" i="1"/>
  <c r="H64" i="1"/>
  <c r="P63" i="1"/>
  <c r="L63" i="1"/>
  <c r="F63" i="1"/>
  <c r="N62" i="1"/>
  <c r="H62" i="1"/>
  <c r="P61" i="1"/>
  <c r="L61" i="1"/>
  <c r="F61" i="1"/>
  <c r="N60" i="1"/>
  <c r="H60" i="1"/>
  <c r="P59" i="1"/>
  <c r="L59" i="1"/>
  <c r="F59" i="1"/>
  <c r="N58" i="1"/>
  <c r="H58" i="1"/>
  <c r="P57" i="1"/>
  <c r="L57" i="1"/>
  <c r="F57" i="1"/>
  <c r="N56" i="1"/>
  <c r="H56" i="1"/>
  <c r="P55" i="1"/>
  <c r="L55" i="1"/>
  <c r="F55" i="1"/>
  <c r="N54" i="1"/>
  <c r="H54" i="1"/>
  <c r="P53" i="1"/>
  <c r="L53" i="1"/>
  <c r="F53" i="1"/>
  <c r="N52" i="1"/>
  <c r="H52" i="1"/>
  <c r="P51" i="1"/>
  <c r="L51" i="1"/>
  <c r="F51" i="1"/>
  <c r="N50" i="1"/>
  <c r="H50" i="1"/>
  <c r="P49" i="1"/>
  <c r="L49" i="1"/>
  <c r="F49" i="1"/>
  <c r="N48" i="1"/>
  <c r="H48" i="1"/>
  <c r="P47" i="1"/>
  <c r="L47" i="1"/>
  <c r="F47" i="1"/>
  <c r="N46" i="1"/>
  <c r="H46" i="1"/>
  <c r="P45" i="1"/>
  <c r="L45" i="1"/>
  <c r="F45" i="1"/>
  <c r="N44" i="1"/>
  <c r="H44" i="1"/>
  <c r="P43" i="1"/>
  <c r="L43" i="1"/>
  <c r="F43" i="1"/>
  <c r="N42" i="1"/>
  <c r="H42" i="1"/>
  <c r="P41" i="1"/>
  <c r="L41" i="1"/>
  <c r="F41" i="1"/>
  <c r="N40" i="1"/>
  <c r="H40" i="1"/>
  <c r="P39" i="1"/>
  <c r="L39" i="1"/>
  <c r="F39" i="1"/>
  <c r="G443" i="1"/>
  <c r="F334" i="1"/>
  <c r="E283" i="1"/>
  <c r="E267" i="1"/>
  <c r="E251" i="1"/>
  <c r="E235" i="1"/>
  <c r="E219" i="1"/>
  <c r="H205" i="1"/>
  <c r="E200" i="1"/>
  <c r="H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O71" i="1"/>
  <c r="G70" i="1"/>
  <c r="M68" i="1"/>
  <c r="E67" i="1"/>
  <c r="K65" i="1"/>
  <c r="O63" i="1"/>
  <c r="G62" i="1"/>
  <c r="M60" i="1"/>
  <c r="E59" i="1"/>
  <c r="K57" i="1"/>
  <c r="O55" i="1"/>
  <c r="G54" i="1"/>
  <c r="M52" i="1"/>
  <c r="E51" i="1"/>
  <c r="K49" i="1"/>
  <c r="O47" i="1"/>
  <c r="G46" i="1"/>
  <c r="M44" i="1"/>
  <c r="E43" i="1"/>
  <c r="K41" i="1"/>
  <c r="O39" i="1"/>
  <c r="M38" i="1"/>
  <c r="O37" i="1"/>
  <c r="G37" i="1"/>
  <c r="N36" i="1"/>
  <c r="G36" i="1"/>
  <c r="M35" i="1"/>
  <c r="F35" i="1"/>
  <c r="M34" i="1"/>
  <c r="F34" i="1"/>
  <c r="N33" i="1"/>
  <c r="H33" i="1"/>
  <c r="P32" i="1"/>
  <c r="L32" i="1"/>
  <c r="F32" i="1"/>
  <c r="N31" i="1"/>
  <c r="H31" i="1"/>
  <c r="P30" i="1"/>
  <c r="L30" i="1"/>
  <c r="F30" i="1"/>
  <c r="N29" i="1"/>
  <c r="H29" i="1"/>
  <c r="P28" i="1"/>
  <c r="L28" i="1"/>
  <c r="F28" i="1"/>
  <c r="N27" i="1"/>
  <c r="H27" i="1"/>
  <c r="P26" i="1"/>
  <c r="L26" i="1"/>
  <c r="F26" i="1"/>
  <c r="N25" i="1"/>
  <c r="H25" i="1"/>
  <c r="P24" i="1"/>
  <c r="L24" i="1"/>
  <c r="F24" i="1"/>
  <c r="N23" i="1"/>
  <c r="H23" i="1"/>
  <c r="P22" i="1"/>
  <c r="L22" i="1"/>
  <c r="F22" i="1"/>
  <c r="N21" i="1"/>
  <c r="H21" i="1"/>
  <c r="P20" i="1"/>
  <c r="L20" i="1"/>
  <c r="F20" i="1"/>
  <c r="N19" i="1"/>
  <c r="H19" i="1"/>
  <c r="P18" i="1"/>
  <c r="L18" i="1"/>
  <c r="F18" i="1"/>
  <c r="N17" i="1"/>
  <c r="H17" i="1"/>
  <c r="P16" i="1"/>
  <c r="L16" i="1"/>
  <c r="F16" i="1"/>
  <c r="N15" i="1"/>
  <c r="H15" i="1"/>
  <c r="P14" i="1"/>
  <c r="L14" i="1"/>
  <c r="F14" i="1"/>
  <c r="N13" i="1"/>
  <c r="H13" i="1"/>
  <c r="P12" i="1"/>
  <c r="L12" i="1"/>
  <c r="F12" i="1"/>
  <c r="N11" i="1"/>
  <c r="H11" i="1"/>
  <c r="P10" i="1"/>
  <c r="L10" i="1"/>
  <c r="F10" i="1"/>
  <c r="N9" i="1"/>
  <c r="H9" i="1"/>
  <c r="P8" i="1"/>
  <c r="L8" i="1"/>
  <c r="F8" i="1"/>
  <c r="N7" i="1"/>
  <c r="H7" i="1"/>
  <c r="P6" i="1"/>
  <c r="L6" i="1"/>
  <c r="F6" i="1"/>
  <c r="N5" i="1"/>
  <c r="H5" i="1"/>
  <c r="P4" i="1"/>
  <c r="L4" i="1"/>
  <c r="F4" i="1"/>
  <c r="N3" i="1"/>
  <c r="H3" i="1"/>
  <c r="P2" i="1"/>
  <c r="L2" i="1"/>
  <c r="H2" i="1"/>
  <c r="P1" i="1"/>
  <c r="L1" i="1"/>
  <c r="E271" i="1"/>
  <c r="E95" i="1"/>
  <c r="E69" i="1"/>
  <c r="E61" i="1"/>
  <c r="E53" i="1"/>
  <c r="G48" i="1"/>
  <c r="O41" i="1"/>
  <c r="P37" i="1"/>
  <c r="H36" i="1"/>
  <c r="N34" i="1"/>
  <c r="K33" i="1"/>
  <c r="K31" i="1"/>
  <c r="G30" i="1"/>
  <c r="E29" i="1"/>
  <c r="K27" i="1"/>
  <c r="G26" i="1"/>
  <c r="M24" i="1"/>
  <c r="K23" i="1"/>
  <c r="G22" i="1"/>
  <c r="M20" i="1"/>
  <c r="K19" i="1"/>
  <c r="G18" i="1"/>
  <c r="E17" i="1"/>
  <c r="O15" i="1"/>
  <c r="G14" i="1"/>
  <c r="M12" i="1"/>
  <c r="K11" i="1"/>
  <c r="G10" i="1"/>
  <c r="M8" i="1"/>
  <c r="K7" i="1"/>
  <c r="G6" i="1"/>
  <c r="E5" i="1"/>
  <c r="G4" i="1"/>
  <c r="E3" i="1"/>
  <c r="E2" i="1"/>
  <c r="F382" i="1"/>
  <c r="F318" i="1"/>
  <c r="E279" i="1"/>
  <c r="E263" i="1"/>
  <c r="E247" i="1"/>
  <c r="E231" i="1"/>
  <c r="E215" i="1"/>
  <c r="E204" i="1"/>
  <c r="H198" i="1"/>
  <c r="F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K71" i="1"/>
  <c r="O69" i="1"/>
  <c r="G68" i="1"/>
  <c r="M66" i="1"/>
  <c r="E65" i="1"/>
  <c r="K63" i="1"/>
  <c r="O61" i="1"/>
  <c r="G60" i="1"/>
  <c r="M58" i="1"/>
  <c r="E57" i="1"/>
  <c r="K55" i="1"/>
  <c r="O53" i="1"/>
  <c r="G52" i="1"/>
  <c r="M50" i="1"/>
  <c r="E49" i="1"/>
  <c r="K47" i="1"/>
  <c r="O45" i="1"/>
  <c r="G44" i="1"/>
  <c r="M42" i="1"/>
  <c r="E41" i="1"/>
  <c r="K39" i="1"/>
  <c r="H38" i="1"/>
  <c r="M37" i="1"/>
  <c r="F37" i="1"/>
  <c r="M36" i="1"/>
  <c r="E36" i="1"/>
  <c r="L35" i="1"/>
  <c r="E35" i="1"/>
  <c r="K34" i="1"/>
  <c r="E34" i="1"/>
  <c r="M33" i="1"/>
  <c r="G33" i="1"/>
  <c r="O32" i="1"/>
  <c r="K32" i="1"/>
  <c r="E32" i="1"/>
  <c r="M31" i="1"/>
  <c r="G31" i="1"/>
  <c r="O30" i="1"/>
  <c r="K30" i="1"/>
  <c r="E30" i="1"/>
  <c r="M29" i="1"/>
  <c r="G29" i="1"/>
  <c r="O28" i="1"/>
  <c r="K28" i="1"/>
  <c r="E28" i="1"/>
  <c r="M27" i="1"/>
  <c r="G27" i="1"/>
  <c r="O26" i="1"/>
  <c r="K26" i="1"/>
  <c r="E26" i="1"/>
  <c r="M25" i="1"/>
  <c r="G25" i="1"/>
  <c r="O24" i="1"/>
  <c r="K24" i="1"/>
  <c r="E24" i="1"/>
  <c r="M23" i="1"/>
  <c r="G23" i="1"/>
  <c r="O22" i="1"/>
  <c r="K22" i="1"/>
  <c r="E22" i="1"/>
  <c r="M21" i="1"/>
  <c r="G21" i="1"/>
  <c r="O20" i="1"/>
  <c r="K20" i="1"/>
  <c r="E20" i="1"/>
  <c r="M19" i="1"/>
  <c r="G19" i="1"/>
  <c r="O18" i="1"/>
  <c r="K18" i="1"/>
  <c r="E18" i="1"/>
  <c r="M17" i="1"/>
  <c r="G17" i="1"/>
  <c r="O16" i="1"/>
  <c r="K16" i="1"/>
  <c r="E16" i="1"/>
  <c r="M15" i="1"/>
  <c r="G15" i="1"/>
  <c r="O14" i="1"/>
  <c r="K14" i="1"/>
  <c r="E14" i="1"/>
  <c r="M13" i="1"/>
  <c r="G13" i="1"/>
  <c r="O12" i="1"/>
  <c r="K12" i="1"/>
  <c r="E12" i="1"/>
  <c r="M11" i="1"/>
  <c r="G11" i="1"/>
  <c r="O10" i="1"/>
  <c r="K10" i="1"/>
  <c r="E10" i="1"/>
  <c r="M9" i="1"/>
  <c r="G9" i="1"/>
  <c r="O8" i="1"/>
  <c r="K8" i="1"/>
  <c r="E8" i="1"/>
  <c r="M7" i="1"/>
  <c r="G7" i="1"/>
  <c r="O6" i="1"/>
  <c r="K6" i="1"/>
  <c r="E6" i="1"/>
  <c r="M5" i="1"/>
  <c r="G5" i="1"/>
  <c r="O4" i="1"/>
  <c r="K4" i="1"/>
  <c r="E4" i="1"/>
  <c r="M3" i="1"/>
  <c r="G3" i="1"/>
  <c r="O2" i="1"/>
  <c r="K2" i="1"/>
  <c r="G2" i="1"/>
  <c r="O1" i="1"/>
  <c r="K1" i="1"/>
  <c r="E287" i="1"/>
  <c r="E255" i="1"/>
  <c r="E223" i="1"/>
  <c r="F201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1" i="1"/>
  <c r="E83" i="1"/>
  <c r="E75" i="1"/>
  <c r="K67" i="1"/>
  <c r="M62" i="1"/>
  <c r="O57" i="1"/>
  <c r="M54" i="1"/>
  <c r="O49" i="1"/>
  <c r="E45" i="1"/>
  <c r="N38" i="1"/>
  <c r="O36" i="1"/>
  <c r="G35" i="1"/>
  <c r="O33" i="1"/>
  <c r="M32" i="1"/>
  <c r="O31" i="1"/>
  <c r="M30" i="1"/>
  <c r="K29" i="1"/>
  <c r="G28" i="1"/>
  <c r="E27" i="1"/>
  <c r="O25" i="1"/>
  <c r="E25" i="1"/>
  <c r="O23" i="1"/>
  <c r="M22" i="1"/>
  <c r="K21" i="1"/>
  <c r="G20" i="1"/>
  <c r="E19" i="1"/>
  <c r="O17" i="1"/>
  <c r="M16" i="1"/>
  <c r="E15" i="1"/>
  <c r="O13" i="1"/>
  <c r="E13" i="1"/>
  <c r="O11" i="1"/>
  <c r="M10" i="1"/>
  <c r="K9" i="1"/>
  <c r="G8" i="1"/>
  <c r="E7" i="1"/>
  <c r="O5" i="1"/>
  <c r="M4" i="1"/>
  <c r="K3" i="1"/>
  <c r="I2" i="1"/>
  <c r="F366" i="1"/>
  <c r="F302" i="1"/>
  <c r="E275" i="1"/>
  <c r="E259" i="1"/>
  <c r="E243" i="1"/>
  <c r="E227" i="1"/>
  <c r="E211" i="1"/>
  <c r="H202" i="1"/>
  <c r="F197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M72" i="1"/>
  <c r="E71" i="1"/>
  <c r="K69" i="1"/>
  <c r="O67" i="1"/>
  <c r="G66" i="1"/>
  <c r="M64" i="1"/>
  <c r="E63" i="1"/>
  <c r="K61" i="1"/>
  <c r="O59" i="1"/>
  <c r="G58" i="1"/>
  <c r="M56" i="1"/>
  <c r="E55" i="1"/>
  <c r="K53" i="1"/>
  <c r="O51" i="1"/>
  <c r="G50" i="1"/>
  <c r="M48" i="1"/>
  <c r="E47" i="1"/>
  <c r="K45" i="1"/>
  <c r="O43" i="1"/>
  <c r="G42" i="1"/>
  <c r="M40" i="1"/>
  <c r="E39" i="1"/>
  <c r="G38" i="1"/>
  <c r="L37" i="1"/>
  <c r="E37" i="1"/>
  <c r="K36" i="1"/>
  <c r="P35" i="1"/>
  <c r="K35" i="1"/>
  <c r="O34" i="1"/>
  <c r="H34" i="1"/>
  <c r="P33" i="1"/>
  <c r="L33" i="1"/>
  <c r="F33" i="1"/>
  <c r="N32" i="1"/>
  <c r="H32" i="1"/>
  <c r="P31" i="1"/>
  <c r="L31" i="1"/>
  <c r="F31" i="1"/>
  <c r="N30" i="1"/>
  <c r="H30" i="1"/>
  <c r="P29" i="1"/>
  <c r="L29" i="1"/>
  <c r="F29" i="1"/>
  <c r="N28" i="1"/>
  <c r="H28" i="1"/>
  <c r="P27" i="1"/>
  <c r="L27" i="1"/>
  <c r="F27" i="1"/>
  <c r="N26" i="1"/>
  <c r="H26" i="1"/>
  <c r="P25" i="1"/>
  <c r="L25" i="1"/>
  <c r="F25" i="1"/>
  <c r="N24" i="1"/>
  <c r="H24" i="1"/>
  <c r="P23" i="1"/>
  <c r="L23" i="1"/>
  <c r="F23" i="1"/>
  <c r="N22" i="1"/>
  <c r="H22" i="1"/>
  <c r="P21" i="1"/>
  <c r="L21" i="1"/>
  <c r="F21" i="1"/>
  <c r="N20" i="1"/>
  <c r="H20" i="1"/>
  <c r="P19" i="1"/>
  <c r="L19" i="1"/>
  <c r="F19" i="1"/>
  <c r="N18" i="1"/>
  <c r="H18" i="1"/>
  <c r="P17" i="1"/>
  <c r="L17" i="1"/>
  <c r="F17" i="1"/>
  <c r="N16" i="1"/>
  <c r="H16" i="1"/>
  <c r="P15" i="1"/>
  <c r="L15" i="1"/>
  <c r="F15" i="1"/>
  <c r="N14" i="1"/>
  <c r="H14" i="1"/>
  <c r="P13" i="1"/>
  <c r="L13" i="1"/>
  <c r="F13" i="1"/>
  <c r="N12" i="1"/>
  <c r="H12" i="1"/>
  <c r="P11" i="1"/>
  <c r="L11" i="1"/>
  <c r="F11" i="1"/>
  <c r="N10" i="1"/>
  <c r="H10" i="1"/>
  <c r="P9" i="1"/>
  <c r="L9" i="1"/>
  <c r="F9" i="1"/>
  <c r="N8" i="1"/>
  <c r="H8" i="1"/>
  <c r="P7" i="1"/>
  <c r="L7" i="1"/>
  <c r="F7" i="1"/>
  <c r="N6" i="1"/>
  <c r="H6" i="1"/>
  <c r="P5" i="1"/>
  <c r="L5" i="1"/>
  <c r="F5" i="1"/>
  <c r="N4" i="1"/>
  <c r="H4" i="1"/>
  <c r="P3" i="1"/>
  <c r="L3" i="1"/>
  <c r="F3" i="1"/>
  <c r="N2" i="1"/>
  <c r="J2" i="1"/>
  <c r="F2" i="1"/>
  <c r="N1" i="1"/>
  <c r="F350" i="1"/>
  <c r="E239" i="1"/>
  <c r="H207" i="1"/>
  <c r="E196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87" i="1"/>
  <c r="E79" i="1"/>
  <c r="G72" i="1"/>
  <c r="M70" i="1"/>
  <c r="O65" i="1"/>
  <c r="G64" i="1"/>
  <c r="K59" i="1"/>
  <c r="G56" i="1"/>
  <c r="K51" i="1"/>
  <c r="M46" i="1"/>
  <c r="K43" i="1"/>
  <c r="G40" i="1"/>
  <c r="K37" i="1"/>
  <c r="O35" i="1"/>
  <c r="G34" i="1"/>
  <c r="E33" i="1"/>
  <c r="G32" i="1"/>
  <c r="E31" i="1"/>
  <c r="O29" i="1"/>
  <c r="M28" i="1"/>
  <c r="O27" i="1"/>
  <c r="M26" i="1"/>
  <c r="K25" i="1"/>
  <c r="G24" i="1"/>
  <c r="E23" i="1"/>
  <c r="O21" i="1"/>
  <c r="E21" i="1"/>
  <c r="O19" i="1"/>
  <c r="M18" i="1"/>
  <c r="K17" i="1"/>
  <c r="G16" i="1"/>
  <c r="K15" i="1"/>
  <c r="M14" i="1"/>
  <c r="K13" i="1"/>
  <c r="G12" i="1"/>
  <c r="E11" i="1"/>
  <c r="O9" i="1"/>
  <c r="E9" i="1"/>
  <c r="O7" i="1"/>
  <c r="M6" i="1"/>
  <c r="K5" i="1"/>
  <c r="O3" i="1"/>
  <c r="M2" i="1"/>
  <c r="M1" i="1"/>
  <c r="F3" i="2" l="1"/>
  <c r="F5" i="2"/>
  <c r="F7" i="2"/>
  <c r="F9" i="2"/>
  <c r="F2" i="2"/>
  <c r="F4" i="2"/>
  <c r="F6" i="2"/>
  <c r="F8" i="2"/>
  <c r="F10" i="2"/>
</calcChain>
</file>

<file path=xl/sharedStrings.xml><?xml version="1.0" encoding="utf-8"?>
<sst xmlns="http://schemas.openxmlformats.org/spreadsheetml/2006/main" count="2041" uniqueCount="1049">
  <si>
    <t>Company Name</t>
  </si>
  <si>
    <t>Industry</t>
  </si>
  <si>
    <t>Symbol</t>
  </si>
  <si>
    <t>Cash / FNO</t>
  </si>
  <si>
    <t>Price</t>
  </si>
  <si>
    <t>Change Absolute</t>
  </si>
  <si>
    <t>Change Percentage (%)</t>
  </si>
  <si>
    <t>MarketCap</t>
  </si>
  <si>
    <t>NIFTY_50</t>
  </si>
  <si>
    <t>NIFTY Percentage (%)</t>
  </si>
  <si>
    <t>3M India Ltd.</t>
  </si>
  <si>
    <t>CONSUMER GOODS</t>
  </si>
  <si>
    <t>NSE:3MINDIA</t>
  </si>
  <si>
    <t>Cash Only</t>
  </si>
  <si>
    <t>ABB India Ltd.</t>
  </si>
  <si>
    <t>INDUSTRIAL MANUFACTURING</t>
  </si>
  <si>
    <t>NSE:ABB</t>
  </si>
  <si>
    <t>ABB Power Products and Systems India Ltd.</t>
  </si>
  <si>
    <t>NSE:POWERINDIA</t>
  </si>
  <si>
    <t>ACC Ltd.</t>
  </si>
  <si>
    <t>CEMENT &amp; CEMENT PRODUCTS</t>
  </si>
  <si>
    <t>NSE:ACC</t>
  </si>
  <si>
    <t>FNO</t>
  </si>
  <si>
    <t>AIA Engineering Ltd.</t>
  </si>
  <si>
    <t>NSE:AIAENG</t>
  </si>
  <si>
    <t>APL Apollo Tubes Ltd.</t>
  </si>
  <si>
    <t>METALS</t>
  </si>
  <si>
    <t>NSE:APLAPOLLO</t>
  </si>
  <si>
    <t>AU Small Finance Bank Ltd.</t>
  </si>
  <si>
    <t>FINANCIAL SERVICES</t>
  </si>
  <si>
    <t>NSE:AUBANK</t>
  </si>
  <si>
    <t>Aarti Drugs Ltd.</t>
  </si>
  <si>
    <t>PHARMA</t>
  </si>
  <si>
    <t>NSE:AARTIDRUGS</t>
  </si>
  <si>
    <t>Aarti Industries Ltd.</t>
  </si>
  <si>
    <t>CHEMICALS</t>
  </si>
  <si>
    <t>NSE:AARTIIND</t>
  </si>
  <si>
    <t>Aavas Financiers Ltd.</t>
  </si>
  <si>
    <t>NSE:AAVAS</t>
  </si>
  <si>
    <t>Abbott India Ltd.</t>
  </si>
  <si>
    <t>NSE:ABBOTINDIA</t>
  </si>
  <si>
    <t>Adani Enterprises Ltd.</t>
  </si>
  <si>
    <t>NSE:ADANIENT</t>
  </si>
  <si>
    <t>Adani Green Energy Ltd.</t>
  </si>
  <si>
    <t>POWER</t>
  </si>
  <si>
    <t>NSE:ADANIGREEN</t>
  </si>
  <si>
    <t>Adani Ports and Special Economic Zone Ltd.</t>
  </si>
  <si>
    <t>SERVICES</t>
  </si>
  <si>
    <t>NSE:ADANIPORTS</t>
  </si>
  <si>
    <t>Adani Total Gas Ltd.</t>
  </si>
  <si>
    <t>OIL &amp; GAS</t>
  </si>
  <si>
    <t>NSE:ATGL</t>
  </si>
  <si>
    <t>Adani Transmission Ltd.</t>
  </si>
  <si>
    <t>NSE:ADANITRANS</t>
  </si>
  <si>
    <t>Aditya Birla Capital Ltd.</t>
  </si>
  <si>
    <t>NSE:ABCAPITAL</t>
  </si>
  <si>
    <t>Aditya Birla Fashion and Retail Ltd.</t>
  </si>
  <si>
    <t>CONSUMER SERVICES</t>
  </si>
  <si>
    <t>NSE:ABFRL</t>
  </si>
  <si>
    <t>Advanced Enzyme Tech Ltd.</t>
  </si>
  <si>
    <t>NSE:ADVENZYMES</t>
  </si>
  <si>
    <t>Aegis Logistics Ltd.</t>
  </si>
  <si>
    <t>NSE:AEGISCHEM</t>
  </si>
  <si>
    <t>Affle (India) Ltd.</t>
  </si>
  <si>
    <t>IT</t>
  </si>
  <si>
    <t>NSE:AFFLE</t>
  </si>
  <si>
    <t>Ajanta Pharmaceuticals Ltd.</t>
  </si>
  <si>
    <t>NSE:AJANTPHARM</t>
  </si>
  <si>
    <t>Akzo Nobel India Ltd.</t>
  </si>
  <si>
    <t>NSE:AKZOINDIA</t>
  </si>
  <si>
    <t>Alembic Ltd.</t>
  </si>
  <si>
    <t>NSE:ALEMBICLTD</t>
  </si>
  <si>
    <t>Alembic Pharmaceuticals Ltd.</t>
  </si>
  <si>
    <t>NSE:APLLTD</t>
  </si>
  <si>
    <t>Alkem Laboratories Ltd.</t>
  </si>
  <si>
    <t>NSE:ALKEM</t>
  </si>
  <si>
    <t>Alkyl Amines Chemicals Ltd.</t>
  </si>
  <si>
    <t>NSE:ALKYLAMINE</t>
  </si>
  <si>
    <t>Alok Industries Ltd.</t>
  </si>
  <si>
    <t>TEXTILES</t>
  </si>
  <si>
    <t>NSE:ALOKINDS</t>
  </si>
  <si>
    <t>Amara Raja Batteries Ltd.</t>
  </si>
  <si>
    <t>AUTOMOBILE</t>
  </si>
  <si>
    <t>NSE:AMARAJABAT</t>
  </si>
  <si>
    <t>Amber Enterprises India Ltd.</t>
  </si>
  <si>
    <t>NSE:AMBER</t>
  </si>
  <si>
    <t>Ambuja Cements Ltd.</t>
  </si>
  <si>
    <t>NSE:AMBUJACEM</t>
  </si>
  <si>
    <t>Angel Broking Ltd.</t>
  </si>
  <si>
    <t>NSE:ANGELBRKG</t>
  </si>
  <si>
    <t>Apollo Hospitals Enterprise Ltd.</t>
  </si>
  <si>
    <t>HEALTHCARE SERVICES</t>
  </si>
  <si>
    <t>NSE:APOLLOHOSP</t>
  </si>
  <si>
    <t>Apollo Tyres Ltd.</t>
  </si>
  <si>
    <t>NSE:APOLLOTYRE</t>
  </si>
  <si>
    <t>Asahi India Glass Ltd.</t>
  </si>
  <si>
    <t>NSE:ASAHIINDIA</t>
  </si>
  <si>
    <t>Ashok Leyland Ltd.</t>
  </si>
  <si>
    <t>NSE:ASHOKLEY</t>
  </si>
  <si>
    <t>Ashoka Buildcon Ltd.</t>
  </si>
  <si>
    <t>CONSTRUCTION</t>
  </si>
  <si>
    <t>NSE:ASHOKA</t>
  </si>
  <si>
    <t>Asian Paints Ltd.</t>
  </si>
  <si>
    <t>NSE:ASIANPAINT</t>
  </si>
  <si>
    <t>Aster DM Healthcare Ltd.</t>
  </si>
  <si>
    <t>NSE:ASTERDM</t>
  </si>
  <si>
    <t>AstraZenca Pharma India Ltd.</t>
  </si>
  <si>
    <t>NSE:ASTRAZEN</t>
  </si>
  <si>
    <t>Astral Ltd.</t>
  </si>
  <si>
    <t>NSE:ASTRAL</t>
  </si>
  <si>
    <t>Atul Ltd.</t>
  </si>
  <si>
    <t>NSE:ATUL</t>
  </si>
  <si>
    <t>Aurobindo Pharma Ltd.</t>
  </si>
  <si>
    <t>NSE:AUROPHARMA</t>
  </si>
  <si>
    <t>Avanti Feeds Ltd.</t>
  </si>
  <si>
    <t>NSE:AVANTIFEED</t>
  </si>
  <si>
    <t>Avenue Supermarts Ltd.</t>
  </si>
  <si>
    <t>NSE:DMART</t>
  </si>
  <si>
    <t>Axis Bank Ltd.</t>
  </si>
  <si>
    <t>NSE:AXISBANK</t>
  </si>
  <si>
    <t>BASF India Ltd.</t>
  </si>
  <si>
    <t>NSE:BASF</t>
  </si>
  <si>
    <t>BEML Ltd.</t>
  </si>
  <si>
    <t>NSE:BEML</t>
  </si>
  <si>
    <t>BSE Ltd.</t>
  </si>
  <si>
    <t>NSE:BSE</t>
  </si>
  <si>
    <t>Bajaj Auto Ltd.</t>
  </si>
  <si>
    <t>NSE:BAJAJ-AUTO</t>
  </si>
  <si>
    <t>Bajaj Consumer Care Ltd.</t>
  </si>
  <si>
    <t>NSE:BAJAJCON</t>
  </si>
  <si>
    <t>Bajaj Electricals Ltd</t>
  </si>
  <si>
    <t>NSE:BAJAJELEC</t>
  </si>
  <si>
    <t>Bajaj Finance Ltd.</t>
  </si>
  <si>
    <t>NSE:BAJFINANCE</t>
  </si>
  <si>
    <t>Bajaj Finserv Ltd.</t>
  </si>
  <si>
    <t>NSE:BAJAJFINSV</t>
  </si>
  <si>
    <t>Bajaj Holdings &amp; Investment Ltd.</t>
  </si>
  <si>
    <t>NSE:BAJAJHLDNG</t>
  </si>
  <si>
    <t>Balaji Amines Ltd.</t>
  </si>
  <si>
    <t>NSE:BALAMINES</t>
  </si>
  <si>
    <t>Balkrishna Industries Ltd.</t>
  </si>
  <si>
    <t>NSE:BALKRISIND</t>
  </si>
  <si>
    <t>Balmer Lawrie &amp; Co. Ltd.</t>
  </si>
  <si>
    <t>NSE:BALMLAWRIE</t>
  </si>
  <si>
    <t>Balrampur Chini Mills Ltd.</t>
  </si>
  <si>
    <t>NSE:BALRAMCHIN</t>
  </si>
  <si>
    <t>Bandhan Bank Ltd.</t>
  </si>
  <si>
    <t>NSE:BANDHANBNK</t>
  </si>
  <si>
    <t>Bank of Baroda</t>
  </si>
  <si>
    <t>NSE:BANKBARODA</t>
  </si>
  <si>
    <t>Bank of India</t>
  </si>
  <si>
    <t>NSE:BANKINDIA</t>
  </si>
  <si>
    <t>Bank of Maharashtra.</t>
  </si>
  <si>
    <t>NSE:MAHABANK</t>
  </si>
  <si>
    <t>Bata India Ltd.</t>
  </si>
  <si>
    <t>NSE:BATAINDIA</t>
  </si>
  <si>
    <t>Bayer Cropscience Ltd.</t>
  </si>
  <si>
    <t>FERTILISERS &amp; PESTICIDES</t>
  </si>
  <si>
    <t>NSE:BAYERCROP</t>
  </si>
  <si>
    <t>Berger Paints India Ltd.</t>
  </si>
  <si>
    <t>NSE:BERGEPAINT</t>
  </si>
  <si>
    <t>Bharat Dynamics Ltd.</t>
  </si>
  <si>
    <t>NSE:BDL</t>
  </si>
  <si>
    <t>Bharat Electronics Ltd.</t>
  </si>
  <si>
    <t>NSE:BEL</t>
  </si>
  <si>
    <t>Bharat Forge Ltd.</t>
  </si>
  <si>
    <t>NSE:BHARATFORG</t>
  </si>
  <si>
    <t>Bharat Heavy Electricals Ltd.</t>
  </si>
  <si>
    <t>NSE:BHEL</t>
  </si>
  <si>
    <t>Bharat Petroleum Corporation Ltd.</t>
  </si>
  <si>
    <t>NSE:BPCL</t>
  </si>
  <si>
    <t>Bharat Rasayan Ltd.</t>
  </si>
  <si>
    <t>NSE:BHARATRAS</t>
  </si>
  <si>
    <t>Bharti Airtel Ltd.</t>
  </si>
  <si>
    <t>TELECOM</t>
  </si>
  <si>
    <t>NSE:BHARTIARTL</t>
  </si>
  <si>
    <t>Biocon Ltd.</t>
  </si>
  <si>
    <t>NSE:BIOCON</t>
  </si>
  <si>
    <t>Birla Corporation Ltd.</t>
  </si>
  <si>
    <t>NSE:BIRLACORPN</t>
  </si>
  <si>
    <t>Birlasoft Ltd.</t>
  </si>
  <si>
    <t>NSE:BSOFT</t>
  </si>
  <si>
    <t>Bliss GVS Pharma Ltd.</t>
  </si>
  <si>
    <t>NSE:BLISSGVS</t>
  </si>
  <si>
    <t>Blue Dart Express Ltd.</t>
  </si>
  <si>
    <t>NSE:BLUEDART</t>
  </si>
  <si>
    <t>Blue Star Ltd.</t>
  </si>
  <si>
    <t>NSE:BLUESTARCO</t>
  </si>
  <si>
    <t>Bombay Burmah Trading Corporation Ltd.</t>
  </si>
  <si>
    <t>NSE:BBTC</t>
  </si>
  <si>
    <t>Bosch Ltd.</t>
  </si>
  <si>
    <t>NSE:BOSCHLTD</t>
  </si>
  <si>
    <t>Brigade Enterprises Ltd.</t>
  </si>
  <si>
    <t>NSE:BRIGADE</t>
  </si>
  <si>
    <t>Britannia Industries Ltd.</t>
  </si>
  <si>
    <t>NSE:BRITANNIA</t>
  </si>
  <si>
    <t>Burger King India Ltd.</t>
  </si>
  <si>
    <t>NSE:BURGERKING</t>
  </si>
  <si>
    <t>CCL Products (I) Ltd.</t>
  </si>
  <si>
    <t>NSE:CCL</t>
  </si>
  <si>
    <t>CESC Ltd.</t>
  </si>
  <si>
    <t>NSE:CESC</t>
  </si>
  <si>
    <t>CRISIL Ltd.</t>
  </si>
  <si>
    <t>NSE:CRISIL</t>
  </si>
  <si>
    <t>CSB Bank Ltd.</t>
  </si>
  <si>
    <t>NSE:CSBBANK</t>
  </si>
  <si>
    <t>Cadila Healthcare Ltd.</t>
  </si>
  <si>
    <t>NSE:CADILAHC</t>
  </si>
  <si>
    <t>Can Fin Homes Ltd.</t>
  </si>
  <si>
    <t>NSE:CANFINHOME</t>
  </si>
  <si>
    <t>Canara Bank</t>
  </si>
  <si>
    <t>NSE:CANBK</t>
  </si>
  <si>
    <t>Caplin Point Laboratories Ltd.</t>
  </si>
  <si>
    <t>NSE:CAPLIPOINT</t>
  </si>
  <si>
    <t>Capri Global Capital Ltd.</t>
  </si>
  <si>
    <t>NSE:CGCL</t>
  </si>
  <si>
    <t>Carborundum Universal Ltd.</t>
  </si>
  <si>
    <t>NSE:CARBORUNIV</t>
  </si>
  <si>
    <t>Castrol India Ltd.</t>
  </si>
  <si>
    <t>NSE:CASTROLIND</t>
  </si>
  <si>
    <t>Ceat Ltd.</t>
  </si>
  <si>
    <t>NSE:CEATLTD</t>
  </si>
  <si>
    <t>Central Bank of India</t>
  </si>
  <si>
    <t>NSE:CENTRALBK</t>
  </si>
  <si>
    <t>Central Depository Services (India) Ltd.</t>
  </si>
  <si>
    <t>NSE:CDSL</t>
  </si>
  <si>
    <t>Century Plyboards (India) Ltd.</t>
  </si>
  <si>
    <t>NSE:CENTURYPLY</t>
  </si>
  <si>
    <t>Century Textile &amp; Industries Ltd.</t>
  </si>
  <si>
    <t>PAPER AND JUTE</t>
  </si>
  <si>
    <t>NSE:CENTURYTEX</t>
  </si>
  <si>
    <t>Cera Sanitaryware Ltd</t>
  </si>
  <si>
    <t>NSE:CERA</t>
  </si>
  <si>
    <t>Chalet Hotels Ltd.</t>
  </si>
  <si>
    <t>NSE:CHALET</t>
  </si>
  <si>
    <t>Chambal Fertilizers &amp; Chemicals Ltd.</t>
  </si>
  <si>
    <t>NSE:CHAMBLFERT</t>
  </si>
  <si>
    <t>Cholamandalam Financial Holdings Ltd.</t>
  </si>
  <si>
    <t>NSE:CHOLAHLDNG</t>
  </si>
  <si>
    <t>Cholamandalam Investment and Finance Company Ltd.</t>
  </si>
  <si>
    <t>NSE:CHOLAFIN</t>
  </si>
  <si>
    <t>Cipla Ltd.</t>
  </si>
  <si>
    <t>NSE:CIPLA</t>
  </si>
  <si>
    <t>City Union Bank Ltd.</t>
  </si>
  <si>
    <t>NSE:CUB</t>
  </si>
  <si>
    <t>Coal India Ltd.</t>
  </si>
  <si>
    <t>NSE:COALINDIA</t>
  </si>
  <si>
    <t>Cochin Shipyard Ltd.</t>
  </si>
  <si>
    <t>NSE:COCHINSHIP</t>
  </si>
  <si>
    <t>Coforge Ltd.</t>
  </si>
  <si>
    <t>NSE:COFORGE</t>
  </si>
  <si>
    <t>Colgate Palmolive (India) Ltd.</t>
  </si>
  <si>
    <t>NSE:COLPAL</t>
  </si>
  <si>
    <t>Computer Age Management Services Ltd.</t>
  </si>
  <si>
    <t>NSE:CAMS</t>
  </si>
  <si>
    <t>Container Corporation of India Ltd.</t>
  </si>
  <si>
    <t>NSE:CONCOR</t>
  </si>
  <si>
    <t>Coromandel International Ltd.</t>
  </si>
  <si>
    <t>NSE:COROMANDEL</t>
  </si>
  <si>
    <t>CreditAccess Grameen Ltd.</t>
  </si>
  <si>
    <t>NSE:CREDITACC</t>
  </si>
  <si>
    <t>Crompton Greaves Consumer Electricals Ltd.</t>
  </si>
  <si>
    <t>NSE:CROMPTON</t>
  </si>
  <si>
    <t>Cummins India Ltd.</t>
  </si>
  <si>
    <t>NSE:CUMMINSIND</t>
  </si>
  <si>
    <t>Cyient Ltd.</t>
  </si>
  <si>
    <t>NSE:CYIENT</t>
  </si>
  <si>
    <t>DCB Bank Ltd.</t>
  </si>
  <si>
    <t>NSE:DCBBANK</t>
  </si>
  <si>
    <t>DCM Shriram Ltd.</t>
  </si>
  <si>
    <t>NSE:DCMSHRIRAM</t>
  </si>
  <si>
    <t>DLF Ltd.</t>
  </si>
  <si>
    <t>NSE:DLF</t>
  </si>
  <si>
    <t>Dabur India Ltd.</t>
  </si>
  <si>
    <t>NSE:DABUR</t>
  </si>
  <si>
    <t>Dalmia Bharat Ltd.</t>
  </si>
  <si>
    <t>NSE:DALBHARAT</t>
  </si>
  <si>
    <t>Deepak Nitrite Ltd.</t>
  </si>
  <si>
    <t>NSE:DEEPAKNTR</t>
  </si>
  <si>
    <t>Delta Corp Ltd.</t>
  </si>
  <si>
    <t>NSE:DELTACORP</t>
  </si>
  <si>
    <t>Dhani Services Ltd.</t>
  </si>
  <si>
    <t>NSE:DHANI</t>
  </si>
  <si>
    <t>Dhanuka Agritech Ltd.</t>
  </si>
  <si>
    <t>NSE:DHANUKA</t>
  </si>
  <si>
    <t>Dilip Buildcon Ltd.</t>
  </si>
  <si>
    <t>NSE:DBL</t>
  </si>
  <si>
    <t>Dish TV India Ltd.</t>
  </si>
  <si>
    <t>MEDIA ENTERTAINMENT &amp; PUBLICATION</t>
  </si>
  <si>
    <t>NSE:DISHTV</t>
  </si>
  <si>
    <t>Dishman Carbogen Amcis Ltd.</t>
  </si>
  <si>
    <t>NSE:DCAL</t>
  </si>
  <si>
    <t>Divi's Laboratories Ltd.</t>
  </si>
  <si>
    <t>NSE:DIVISLAB</t>
  </si>
  <si>
    <t>Dixon Technologies (India) Ltd.</t>
  </si>
  <si>
    <t>NSE:DIXON</t>
  </si>
  <si>
    <t>Dr. Lal Path Labs Ltd.</t>
  </si>
  <si>
    <t>NSE:LALPATHLAB</t>
  </si>
  <si>
    <t>Dr. Reddy's Laboratories Ltd.</t>
  </si>
  <si>
    <t>NSE:DRREDDY</t>
  </si>
  <si>
    <t>E.I.D. Parry (India) Ltd.</t>
  </si>
  <si>
    <t>NSE:EIDPARRY</t>
  </si>
  <si>
    <t>EIH Ltd.</t>
  </si>
  <si>
    <t>NSE:EIHOTEL</t>
  </si>
  <si>
    <t>EPL Ltd.</t>
  </si>
  <si>
    <t>NSE:EPL</t>
  </si>
  <si>
    <t>Edelweiss Financial Services Ltd.</t>
  </si>
  <si>
    <t>NSE:EDELWEISS</t>
  </si>
  <si>
    <t>Eicher Motors Ltd.</t>
  </si>
  <si>
    <t>NSE:EICHERMOT</t>
  </si>
  <si>
    <t>Elgi Equipments Ltd.</t>
  </si>
  <si>
    <t>NSE:ELGIEQUIP</t>
  </si>
  <si>
    <t>Emami Ltd.</t>
  </si>
  <si>
    <t>NSE:EMAMILTD</t>
  </si>
  <si>
    <t>Endurance Technologies Ltd.</t>
  </si>
  <si>
    <t>NSE:ENDURANCE</t>
  </si>
  <si>
    <t>Engineers India Ltd.</t>
  </si>
  <si>
    <t>NSE:ENGINERSIN</t>
  </si>
  <si>
    <t>Equitas Holdings Ltd.</t>
  </si>
  <si>
    <t>NSE:EQUITAS</t>
  </si>
  <si>
    <t>Eris Lifesciences Ltd.</t>
  </si>
  <si>
    <t>NSE:ERIS</t>
  </si>
  <si>
    <t>Escorts Ltd.</t>
  </si>
  <si>
    <t>NSE:ESCORTS</t>
  </si>
  <si>
    <t>Exide Industries Ltd.</t>
  </si>
  <si>
    <t>NSE:EXIDEIND</t>
  </si>
  <si>
    <t>FDC Ltd.</t>
  </si>
  <si>
    <t>NSE:FDC</t>
  </si>
  <si>
    <t>Federal Bank Ltd.</t>
  </si>
  <si>
    <t>NSE:FEDERALBNK</t>
  </si>
  <si>
    <t>Fine Organic Industries Ltd.</t>
  </si>
  <si>
    <t>NSE:FINEORG</t>
  </si>
  <si>
    <t>Finolex Cables Ltd.</t>
  </si>
  <si>
    <t>NSE:FINCABLES</t>
  </si>
  <si>
    <t>Finolex Industries Ltd.</t>
  </si>
  <si>
    <t>NSE:FINPIPE</t>
  </si>
  <si>
    <t>Firstsource Solutions Ltd.</t>
  </si>
  <si>
    <t>NSE:FSL</t>
  </si>
  <si>
    <t>Fortis Healthcare Ltd.</t>
  </si>
  <si>
    <t>NSE:FORTIS</t>
  </si>
  <si>
    <t>Future Consumer Ltd.</t>
  </si>
  <si>
    <t>NSE:FCONSUMER</t>
  </si>
  <si>
    <t>Future Retail Ltd.</t>
  </si>
  <si>
    <t>NSE:FRETAIL</t>
  </si>
  <si>
    <t>GAIL (India) Ltd.</t>
  </si>
  <si>
    <t>NSE:GAIL</t>
  </si>
  <si>
    <t>GE Power India Ltd.</t>
  </si>
  <si>
    <t>NSE:GEPIL</t>
  </si>
  <si>
    <t>GMM Pfaudler Ltd.</t>
  </si>
  <si>
    <t>NSE:GMMPFAUDLR</t>
  </si>
  <si>
    <t>GMR Infrastructure Ltd.</t>
  </si>
  <si>
    <t>NSE:GMRINFRA</t>
  </si>
  <si>
    <t>Galaxy Surfactants Ltd.</t>
  </si>
  <si>
    <t>NSE:GALAXYSURF</t>
  </si>
  <si>
    <t>Garden Reach Shipbuilders &amp; Engineers Ltd.</t>
  </si>
  <si>
    <t>NSE:GRSE</t>
  </si>
  <si>
    <t>Garware Technical Fibres Ltd.</t>
  </si>
  <si>
    <t>NSE:GARFIBRES</t>
  </si>
  <si>
    <t>General Insurance Corporation of India</t>
  </si>
  <si>
    <t>NSE:GICRE</t>
  </si>
  <si>
    <t>Gillette India Ltd.</t>
  </si>
  <si>
    <t>NSE:GILLETTE</t>
  </si>
  <si>
    <t>Glaxosmithkline Pharmaceuticals Ltd.</t>
  </si>
  <si>
    <t>NSE:GLAXO</t>
  </si>
  <si>
    <t>Glenmark Pharmaceuticals Ltd.</t>
  </si>
  <si>
    <t>NSE:GLENMARK</t>
  </si>
  <si>
    <t>Godfrey Phillips India Ltd.</t>
  </si>
  <si>
    <t>NSE:GODFRYPHLP</t>
  </si>
  <si>
    <t>Godrej Agrovet Ltd.</t>
  </si>
  <si>
    <t>NSE:GODREJAGRO</t>
  </si>
  <si>
    <t>Godrej Consumer Products Ltd.</t>
  </si>
  <si>
    <t>NSE:GODREJCP</t>
  </si>
  <si>
    <t>Godrej Industries Ltd.</t>
  </si>
  <si>
    <t>NSE:GODREJIND</t>
  </si>
  <si>
    <t>Godrej Properties Ltd.</t>
  </si>
  <si>
    <t>NSE:GODREJPROP</t>
  </si>
  <si>
    <t>Granules India Ltd.</t>
  </si>
  <si>
    <t>NSE:GRANULES</t>
  </si>
  <si>
    <t>Graphite India Ltd.</t>
  </si>
  <si>
    <t>NSE:GRAPHITE</t>
  </si>
  <si>
    <t>Grasim Industries Ltd.</t>
  </si>
  <si>
    <t>NSE:GRASIM</t>
  </si>
  <si>
    <t>Great Eastern Shipping Co. Ltd.</t>
  </si>
  <si>
    <t>NSE:GESHIP</t>
  </si>
  <si>
    <t>Greaves Cotton Ltd.</t>
  </si>
  <si>
    <t>NSE:GREAVESCOT</t>
  </si>
  <si>
    <t>Grindwell Norton Ltd.</t>
  </si>
  <si>
    <t>NSE:GRINDWELL</t>
  </si>
  <si>
    <t>Gujarat Alkalies &amp; Chemicals Ltd.</t>
  </si>
  <si>
    <t>NSE:GUJALKALI</t>
  </si>
  <si>
    <t>Gujarat Ambuja Exports Ltd.</t>
  </si>
  <si>
    <t>NSE:GAEL</t>
  </si>
  <si>
    <t>Gujarat Fluorochemicals Ltd.</t>
  </si>
  <si>
    <t>NSE:FLUOROCHEM</t>
  </si>
  <si>
    <t>Gujarat Gas Ltd.</t>
  </si>
  <si>
    <t>NSE:GUJGASLTD</t>
  </si>
  <si>
    <t>Gujarat Narmada Valley Fertilizers and Chemicals Ltd.</t>
  </si>
  <si>
    <t>NSE:GNFC</t>
  </si>
  <si>
    <t>Gujarat Pipavav Port Ltd.</t>
  </si>
  <si>
    <t>NSE:GPPL</t>
  </si>
  <si>
    <t>Gujarat State Fertilizers &amp; Chemicals Ltd.</t>
  </si>
  <si>
    <t>NSE:GSFC</t>
  </si>
  <si>
    <t>Gujarat State Petronet Ltd.</t>
  </si>
  <si>
    <t>NSE:GSPL</t>
  </si>
  <si>
    <t>Gulf Oil Lubricants India Ltd.</t>
  </si>
  <si>
    <t>NSE:GULFOILLUB</t>
  </si>
  <si>
    <t>H.E.G. Ltd.</t>
  </si>
  <si>
    <t>NSE:HEG</t>
  </si>
  <si>
    <t>HCL Technologies Ltd.</t>
  </si>
  <si>
    <t>NSE:HCLTECH</t>
  </si>
  <si>
    <t>HDFC Asset Management Company Ltd.</t>
  </si>
  <si>
    <t>NSE:HDFCAMC</t>
  </si>
  <si>
    <t>HDFC Bank Ltd.</t>
  </si>
  <si>
    <t>NSE:HDFCBANK</t>
  </si>
  <si>
    <t>HDFC Life Insurance Company Ltd.</t>
  </si>
  <si>
    <t>NSE:HDFCLIFE</t>
  </si>
  <si>
    <t>HFCL Ltd.</t>
  </si>
  <si>
    <t>NSE:HFCL</t>
  </si>
  <si>
    <t>Happiest Minds Technologies Ltd.</t>
  </si>
  <si>
    <t>NSE:HAPPSTMNDS</t>
  </si>
  <si>
    <t>Hatsun Agro Product Ltd.</t>
  </si>
  <si>
    <t>NSE:HATSUN</t>
  </si>
  <si>
    <t>Havells India Ltd.</t>
  </si>
  <si>
    <t>NSE:HAVELLS</t>
  </si>
  <si>
    <t>HeidelbergCement India Ltd.</t>
  </si>
  <si>
    <t>NSE:HEIDELBERG</t>
  </si>
  <si>
    <t>Hemisphere Properties India Ltd.</t>
  </si>
  <si>
    <t>NSE:HEMIPROP</t>
  </si>
  <si>
    <t>Hero MotoCorp Ltd.</t>
  </si>
  <si>
    <t>NSE:HEROMOTOCO</t>
  </si>
  <si>
    <t>Himadri Speciality Chemical Ltd.</t>
  </si>
  <si>
    <t>NSE:HSCL</t>
  </si>
  <si>
    <t>Hindalco Industries Ltd.</t>
  </si>
  <si>
    <t>NSE:HINDALCO</t>
  </si>
  <si>
    <t>Hindustan Aeronautics Ltd.</t>
  </si>
  <si>
    <t>NSE:HAL</t>
  </si>
  <si>
    <t>Hindustan Copper Ltd.</t>
  </si>
  <si>
    <t>NSE:HINDCOPPER</t>
  </si>
  <si>
    <t>Hindustan Petroleum Corporation Ltd.</t>
  </si>
  <si>
    <t>NSE:HINDPETRO</t>
  </si>
  <si>
    <t>Hindustan Unilever Ltd.</t>
  </si>
  <si>
    <t>NSE:HINDUNILVR</t>
  </si>
  <si>
    <t>Hindustan Zinc Ltd.</t>
  </si>
  <si>
    <t>NSE:HINDZINC</t>
  </si>
  <si>
    <t>Honeywell Automation India Ltd.</t>
  </si>
  <si>
    <t>NSE:HONAUT</t>
  </si>
  <si>
    <t>Housing &amp; Urban Development Corporation Ltd.</t>
  </si>
  <si>
    <t>NSE:HUDCO</t>
  </si>
  <si>
    <t>Housing Development Finance Corporation Ltd.</t>
  </si>
  <si>
    <t>NSE:HDFC</t>
  </si>
  <si>
    <t>Huhtamaki India Ltd.</t>
  </si>
  <si>
    <t>NSE:HUHTAMAKI</t>
  </si>
  <si>
    <t>ICICI Bank Ltd.</t>
  </si>
  <si>
    <t>NSE:ICICIBANK</t>
  </si>
  <si>
    <t>ICICI Lombard General Insurance Company Ltd.</t>
  </si>
  <si>
    <t>NSE:ICICIGI</t>
  </si>
  <si>
    <t>ICICI Prudential Life Insurance Company Ltd.</t>
  </si>
  <si>
    <t>NSE:ICICIPRULI</t>
  </si>
  <si>
    <t>ICICI Securities Ltd.</t>
  </si>
  <si>
    <t>NSE:ISEC</t>
  </si>
  <si>
    <t>IDBI Bank Ltd.</t>
  </si>
  <si>
    <t>NSE:IDBI</t>
  </si>
  <si>
    <t>IDFC First Bank Ltd.</t>
  </si>
  <si>
    <t>NSE:IDFCFIRSTB</t>
  </si>
  <si>
    <t>IDFC Ltd.</t>
  </si>
  <si>
    <t>NSE:IDFC</t>
  </si>
  <si>
    <t>IFB Industries Ltd.</t>
  </si>
  <si>
    <t>NSE:IFBIND</t>
  </si>
  <si>
    <t>IIFL Finance Ltd.</t>
  </si>
  <si>
    <t>NSE:IIFL</t>
  </si>
  <si>
    <t>IIFL Wealth Management Ltd.</t>
  </si>
  <si>
    <t>NSE:IIFLWAM</t>
  </si>
  <si>
    <t>IOL Chem and Pharma Ltd.</t>
  </si>
  <si>
    <t>NSE:IOLCP</t>
  </si>
  <si>
    <t>IRB Infrastructure Developers Ltd.</t>
  </si>
  <si>
    <t>NSE:IRB</t>
  </si>
  <si>
    <t>IRCON International Ltd.</t>
  </si>
  <si>
    <t>NSE:IRCON</t>
  </si>
  <si>
    <t>ITC Ltd.</t>
  </si>
  <si>
    <t>NSE:ITC</t>
  </si>
  <si>
    <t>ITI Ltd.</t>
  </si>
  <si>
    <t>NSE:ITI</t>
  </si>
  <si>
    <t>India Cements Ltd.</t>
  </si>
  <si>
    <t>NSE:INDIACEM</t>
  </si>
  <si>
    <t>Indiabulls Housing Finance Ltd.</t>
  </si>
  <si>
    <t>NSE:IBULHSGFIN</t>
  </si>
  <si>
    <t>Indiabulls Real Estate Ltd.</t>
  </si>
  <si>
    <t>NSE:IBREALEST</t>
  </si>
  <si>
    <t>Indiamart Intermesh Ltd.</t>
  </si>
  <si>
    <t>NSE:INDIAMART</t>
  </si>
  <si>
    <t>Indian Bank</t>
  </si>
  <si>
    <t>NSE:INDIANB</t>
  </si>
  <si>
    <t>Indian Energy Exchange Ltd.</t>
  </si>
  <si>
    <t>NSE:IEX</t>
  </si>
  <si>
    <t>Indian Hotels Co. Ltd.</t>
  </si>
  <si>
    <t>NSE:INDHOTEL</t>
  </si>
  <si>
    <t>Indian Oil Corporation Ltd.</t>
  </si>
  <si>
    <t>NSE:IOC</t>
  </si>
  <si>
    <t>Indian Overseas Bank</t>
  </si>
  <si>
    <t>NSE:IOB</t>
  </si>
  <si>
    <t>Indian Railway Catering And Tourism Corporation Ltd.</t>
  </si>
  <si>
    <t>NSE:IRCTC</t>
  </si>
  <si>
    <t>Indo Count Industries Ltd.</t>
  </si>
  <si>
    <t>NSE:ICIL</t>
  </si>
  <si>
    <t>Indoco Remedies Ltd.</t>
  </si>
  <si>
    <t>NSE:INDOCO</t>
  </si>
  <si>
    <t>Indraprastha Gas Ltd.</t>
  </si>
  <si>
    <t>NSE:IGL</t>
  </si>
  <si>
    <t>Indus Towers Ltd.</t>
  </si>
  <si>
    <t>NSE:INDUSTOWER</t>
  </si>
  <si>
    <t>IndusInd Bank Ltd.</t>
  </si>
  <si>
    <t>NSE:INDUSINDBK</t>
  </si>
  <si>
    <t>Infibeam Avenues Ltd.</t>
  </si>
  <si>
    <t>NSE:INFIBEAM</t>
  </si>
  <si>
    <t>Info Edge (India) Ltd.</t>
  </si>
  <si>
    <t>NSE:NAUKRI</t>
  </si>
  <si>
    <t>Infosys Ltd.</t>
  </si>
  <si>
    <t>NSE:INFY</t>
  </si>
  <si>
    <t>Ingersoll Rand (India) Ltd.</t>
  </si>
  <si>
    <t>NSE:INGERRAND</t>
  </si>
  <si>
    <t>Inox Leisure Ltd.</t>
  </si>
  <si>
    <t>NSE:INOXLEISUR</t>
  </si>
  <si>
    <t>Intellect Design Arena Ltd.</t>
  </si>
  <si>
    <t>NSE:INTELLECT</t>
  </si>
  <si>
    <t>InterGlobe Aviation Ltd.</t>
  </si>
  <si>
    <t>NSE:INDIGO</t>
  </si>
  <si>
    <t>Ipca Laboratories Ltd.</t>
  </si>
  <si>
    <t>NSE:IPCALAB</t>
  </si>
  <si>
    <t>J.B. Chemicals &amp; Pharmaceuticals Ltd.</t>
  </si>
  <si>
    <t>NSE:JBCHEPHARM</t>
  </si>
  <si>
    <t>J.K. Cement Ltd.</t>
  </si>
  <si>
    <t>NSE:JKCEMENT</t>
  </si>
  <si>
    <t>JK Lakshmi Cement Ltd.</t>
  </si>
  <si>
    <t>NSE:JKLAKSHMI</t>
  </si>
  <si>
    <t>JK Paper Ltd.</t>
  </si>
  <si>
    <t>NSE:JKPAPER</t>
  </si>
  <si>
    <t>JK Tyre &amp; Industries Ltd.</t>
  </si>
  <si>
    <t>NSE:JKTYRE</t>
  </si>
  <si>
    <t>JM Financial Ltd.</t>
  </si>
  <si>
    <t>NSE:JMFINANCIL</t>
  </si>
  <si>
    <t>JSW Energy Ltd.</t>
  </si>
  <si>
    <t>NSE:JSWENERGY</t>
  </si>
  <si>
    <t>JSW Steel Ltd.</t>
  </si>
  <si>
    <t>NSE:JSWSTEEL</t>
  </si>
  <si>
    <t>JTEKT India Ltd.</t>
  </si>
  <si>
    <t>NSE:JTEKTINDIA</t>
  </si>
  <si>
    <t>Jamna Auto Industries Ltd.</t>
  </si>
  <si>
    <t>NSE:JAMNAAUTO</t>
  </si>
  <si>
    <t>Jindal Saw Ltd.</t>
  </si>
  <si>
    <t>NSE:JINDALSAW</t>
  </si>
  <si>
    <t>Jindal Stainless (Hisar) Ltd.</t>
  </si>
  <si>
    <t>NSE:JSLHISAR</t>
  </si>
  <si>
    <t>Jindal Stainless Ltd.</t>
  </si>
  <si>
    <t>NSE:JSL</t>
  </si>
  <si>
    <t>Jindal Steel &amp; Power Ltd.</t>
  </si>
  <si>
    <t>NSE:JINDALSTEL</t>
  </si>
  <si>
    <t>Johnson Controls - Hitachi Air Conditioning India Ltd.</t>
  </si>
  <si>
    <t>NSE:JCHAC</t>
  </si>
  <si>
    <t>Jubilant Foodworks Ltd.</t>
  </si>
  <si>
    <t>NSE:JUBLFOOD</t>
  </si>
  <si>
    <t>Justdial Ltd.</t>
  </si>
  <si>
    <t>NSE:JUSTDIAL</t>
  </si>
  <si>
    <t>Jyothy Labs Ltd.</t>
  </si>
  <si>
    <t>NSE:JYOTHYLAB</t>
  </si>
  <si>
    <t>K.P.R. Mill Ltd.</t>
  </si>
  <si>
    <t>NSE:KPRMILL</t>
  </si>
  <si>
    <t>KEI Industries Ltd.</t>
  </si>
  <si>
    <t>NSE:KEI</t>
  </si>
  <si>
    <t>KNR Constructions Ltd.</t>
  </si>
  <si>
    <t>NSE:KNRCON</t>
  </si>
  <si>
    <t>KPIT Technologies Ltd.</t>
  </si>
  <si>
    <t>NSE:KPITTECH</t>
  </si>
  <si>
    <t>KRBL Ltd.</t>
  </si>
  <si>
    <t>NSE:KRBL</t>
  </si>
  <si>
    <t>KSB Ltd.</t>
  </si>
  <si>
    <t>NSE:KSB</t>
  </si>
  <si>
    <t>Kajaria Ceramics Ltd.</t>
  </si>
  <si>
    <t>NSE:KAJARIACER</t>
  </si>
  <si>
    <t>Kalpataru Power Transmission Ltd.</t>
  </si>
  <si>
    <t>NSE:KALPATPOWR</t>
  </si>
  <si>
    <t>Kansai Nerolac Paints Ltd.</t>
  </si>
  <si>
    <t>NSE:KANSAINER</t>
  </si>
  <si>
    <t>Karur Vysya Bank Ltd.</t>
  </si>
  <si>
    <t>NSE:KARURVYSYA</t>
  </si>
  <si>
    <t>Kaveri Seed Company Ltd.</t>
  </si>
  <si>
    <t>NSE:KSCL</t>
  </si>
  <si>
    <t>Kec International Ltd.</t>
  </si>
  <si>
    <t>NSE:KEC</t>
  </si>
  <si>
    <t>Kotak Mahindra Bank Ltd.</t>
  </si>
  <si>
    <t>NSE:KOTAKBANK</t>
  </si>
  <si>
    <t>L&amp;T Finance Holdings Ltd.</t>
  </si>
  <si>
    <t>NSE:L&amp;TFH</t>
  </si>
  <si>
    <t>L&amp;T Technology Services Ltd.</t>
  </si>
  <si>
    <t>NSE:LTTS</t>
  </si>
  <si>
    <t>LIC Housing Finance Ltd.</t>
  </si>
  <si>
    <t>NSE:LICHSGFIN</t>
  </si>
  <si>
    <t>La Opala RG Ltd.</t>
  </si>
  <si>
    <t>NSE:LAOPALA</t>
  </si>
  <si>
    <t>Lakshmi Machine Works Ltd.</t>
  </si>
  <si>
    <t>NSE:LAXMIMACH</t>
  </si>
  <si>
    <t>Larsen &amp; Toubro Infotech Ltd.</t>
  </si>
  <si>
    <t>NSE:LTI</t>
  </si>
  <si>
    <t>Larsen &amp; Toubro Ltd.</t>
  </si>
  <si>
    <t>NSE:LT</t>
  </si>
  <si>
    <t>Laurus Labs Ltd.</t>
  </si>
  <si>
    <t>NSE:LAURUSLABS</t>
  </si>
  <si>
    <t>Lemon Tree Hotels Ltd.</t>
  </si>
  <si>
    <t>NSE:LEMONTREE</t>
  </si>
  <si>
    <t>Linde India Ltd.</t>
  </si>
  <si>
    <t>NSE:LINDEINDIA</t>
  </si>
  <si>
    <t>Lupin Ltd.</t>
  </si>
  <si>
    <t>NSE:LUPIN</t>
  </si>
  <si>
    <t>Lux Industries Ltd.</t>
  </si>
  <si>
    <t>NSE:LUXIND</t>
  </si>
  <si>
    <t>MAS Financial Services Ltd.</t>
  </si>
  <si>
    <t>NSE:MASFIN</t>
  </si>
  <si>
    <t>MMTC Ltd.</t>
  </si>
  <si>
    <t>NSE:MMTC</t>
  </si>
  <si>
    <t>MOIL Ltd.</t>
  </si>
  <si>
    <t>NSE:MOIL</t>
  </si>
  <si>
    <t>MRF Ltd.</t>
  </si>
  <si>
    <t>NSE:MRF</t>
  </si>
  <si>
    <t>Mahanagar Gas Ltd.</t>
  </si>
  <si>
    <t>NSE:MGL</t>
  </si>
  <si>
    <t>Maharashtra Scooters Ltd.</t>
  </si>
  <si>
    <t>NSE:MAHSCOOTER</t>
  </si>
  <si>
    <t>Maharashtra Seamless Ltd.</t>
  </si>
  <si>
    <t>NSE:MAHSEAMLES</t>
  </si>
  <si>
    <t>Mahindra &amp; Mahindra Financial Services Ltd.</t>
  </si>
  <si>
    <t>NSE:M&amp;MFIN</t>
  </si>
  <si>
    <t>Mahindra &amp; Mahindra Ltd.</t>
  </si>
  <si>
    <t>NSE:M&amp;M</t>
  </si>
  <si>
    <t>Mahindra CIE Automotive Ltd.</t>
  </si>
  <si>
    <t>NSE:MAHINDCIE</t>
  </si>
  <si>
    <t>Mahindra Holidays &amp; Resorts India Ltd.</t>
  </si>
  <si>
    <t>NSE:MHRIL</t>
  </si>
  <si>
    <t>Mahindra Logistics Ltd.</t>
  </si>
  <si>
    <t>NSE:MAHLOG</t>
  </si>
  <si>
    <t>Manappuram Finance Ltd.</t>
  </si>
  <si>
    <t>NSE:MANAPPURAM</t>
  </si>
  <si>
    <t>Mangalore Refinery &amp; Petrochemicals Ltd.</t>
  </si>
  <si>
    <t>NSE:MRPL</t>
  </si>
  <si>
    <t>Marico Ltd.</t>
  </si>
  <si>
    <t>NSE:MARICO</t>
  </si>
  <si>
    <t>Maruti Suzuki India Ltd.</t>
  </si>
  <si>
    <t>NSE:MARUTI</t>
  </si>
  <si>
    <t>Max Financial Services Ltd.</t>
  </si>
  <si>
    <t>NSE:MFSL</t>
  </si>
  <si>
    <t>Max Healthcare Institute Ltd.</t>
  </si>
  <si>
    <t>NSE:MAXHEALTH</t>
  </si>
  <si>
    <t>Mazagoan Dock Shipbuilders Ltd.</t>
  </si>
  <si>
    <t>NSE:MAZDOCK</t>
  </si>
  <si>
    <t>Metropolis Healthcare Ltd.</t>
  </si>
  <si>
    <t>NSE:METROPOLIS</t>
  </si>
  <si>
    <t>MindTree Ltd.</t>
  </si>
  <si>
    <t>NSE:MINDTREE</t>
  </si>
  <si>
    <t>Minda Corporation Ltd.</t>
  </si>
  <si>
    <t>NSE:MINDACORP</t>
  </si>
  <si>
    <t>Minda Industries Ltd.</t>
  </si>
  <si>
    <t>NSE:MINDAIND</t>
  </si>
  <si>
    <t>Mishra Dhatu Nigam Ltd.</t>
  </si>
  <si>
    <t>NSE:MIDHANI</t>
  </si>
  <si>
    <t>Motherson Sumi Systems Ltd.</t>
  </si>
  <si>
    <t>NSE:MOTHERSUMI</t>
  </si>
  <si>
    <t>Motilal Oswal Financial Services Ltd.</t>
  </si>
  <si>
    <t>NSE:MOTILALOFS</t>
  </si>
  <si>
    <t>MphasiS Ltd.</t>
  </si>
  <si>
    <t>NSE:MPHASIS</t>
  </si>
  <si>
    <t>Multi Commodity Exchange of India Ltd.</t>
  </si>
  <si>
    <t>NSE:MCX</t>
  </si>
  <si>
    <t>Muthoot Finance Ltd.</t>
  </si>
  <si>
    <t>NSE:MUTHOOTFIN</t>
  </si>
  <si>
    <t>NATCO Pharma Ltd.</t>
  </si>
  <si>
    <t>NSE:NATCOPHARM</t>
  </si>
  <si>
    <t>NBCC (India) Ltd.</t>
  </si>
  <si>
    <t>NSE:NBCC</t>
  </si>
  <si>
    <t>NCC Ltd.</t>
  </si>
  <si>
    <t>NSE:NCC</t>
  </si>
  <si>
    <t>NESCO Ltd.</t>
  </si>
  <si>
    <t>NSE:NESCO</t>
  </si>
  <si>
    <t>NHPC Ltd.</t>
  </si>
  <si>
    <t>NSE:NHPC</t>
  </si>
  <si>
    <t>NLC India Ltd.</t>
  </si>
  <si>
    <t>NSE:NLCINDIA</t>
  </si>
  <si>
    <t>NMDC Ltd.</t>
  </si>
  <si>
    <t>NSE:NMDC</t>
  </si>
  <si>
    <t>NOCIL Ltd.</t>
  </si>
  <si>
    <t>NSE:NOCIL</t>
  </si>
  <si>
    <t>NTPC Ltd.</t>
  </si>
  <si>
    <t>NSE:NTPC</t>
  </si>
  <si>
    <t>Narayana Hrudayalaya Ltd.</t>
  </si>
  <si>
    <t>NSE:NH</t>
  </si>
  <si>
    <t>National Aluminium Co. Ltd.</t>
  </si>
  <si>
    <t>NSE:NATIONALUM</t>
  </si>
  <si>
    <t>National Fertilizers Ltd.</t>
  </si>
  <si>
    <t>NSE:NFL</t>
  </si>
  <si>
    <t>Navin Fluorine International Ltd.</t>
  </si>
  <si>
    <t>NSE:NAVINFLUOR</t>
  </si>
  <si>
    <t>Nestle India Ltd.</t>
  </si>
  <si>
    <t>NSE:NESTLEIND</t>
  </si>
  <si>
    <t>Network18 Media &amp; Investments Ltd.</t>
  </si>
  <si>
    <t>NSE:NETWORK18</t>
  </si>
  <si>
    <t>Nilkamal Ltd.</t>
  </si>
  <si>
    <t>NSE:NILKAMAL</t>
  </si>
  <si>
    <t>Nippon Life India Asset Management Ltd.</t>
  </si>
  <si>
    <t>NSE:NAM-INDIA</t>
  </si>
  <si>
    <t>Oberoi Realty Ltd.</t>
  </si>
  <si>
    <t>NSE:OBEROIRLTY</t>
  </si>
  <si>
    <t>Oil &amp; Natural Gas Corporation Ltd.</t>
  </si>
  <si>
    <t>NSE:ONGC</t>
  </si>
  <si>
    <t>Oil India Ltd.</t>
  </si>
  <si>
    <t>NSE:OIL</t>
  </si>
  <si>
    <t>Oracle Financial Services Software Ltd.</t>
  </si>
  <si>
    <t>NSE:OFSS</t>
  </si>
  <si>
    <t>Orient Electric Ltd.</t>
  </si>
  <si>
    <t>NSE:ORIENTELEC</t>
  </si>
  <si>
    <t>Orient Refractories Ltd.</t>
  </si>
  <si>
    <t>NSE:ORIENTREF</t>
  </si>
  <si>
    <t>PI Industries Ltd.</t>
  </si>
  <si>
    <t>NSE:PIIND</t>
  </si>
  <si>
    <t>PNB Housing Finance Ltd.</t>
  </si>
  <si>
    <t>NSE:PNBHOUSING</t>
  </si>
  <si>
    <t>PNC Infratech Ltd.</t>
  </si>
  <si>
    <t>NSE:PNCINFRA</t>
  </si>
  <si>
    <t>PVR Ltd.</t>
  </si>
  <si>
    <t>NSE:PVR</t>
  </si>
  <si>
    <t>Page Industries Ltd.</t>
  </si>
  <si>
    <t>NSE:PAGEIND</t>
  </si>
  <si>
    <t>Persistent Systems Ltd.</t>
  </si>
  <si>
    <t>NSE:PERSISTENT</t>
  </si>
  <si>
    <t>Petronet LNG Ltd.</t>
  </si>
  <si>
    <t>NSE:PETRONET</t>
  </si>
  <si>
    <t>Pfizer Ltd.</t>
  </si>
  <si>
    <t>NSE:PFIZER</t>
  </si>
  <si>
    <t>Phillips Carbon Black Ltd.</t>
  </si>
  <si>
    <t>NSE:PHILIPCARB</t>
  </si>
  <si>
    <t>Phoenix Mills Ltd.</t>
  </si>
  <si>
    <t>NSE:PHOENIXLTD</t>
  </si>
  <si>
    <t>Pidilite Industries Ltd.</t>
  </si>
  <si>
    <t>NSE:PIDILITIND</t>
  </si>
  <si>
    <t>Piramal Enterprises Ltd.</t>
  </si>
  <si>
    <t>NSE:PEL</t>
  </si>
  <si>
    <t>Poly Medicure Ltd.</t>
  </si>
  <si>
    <t>NSE:POLYMED</t>
  </si>
  <si>
    <t>Polycab India Ltd.</t>
  </si>
  <si>
    <t>NSE:POLYCAB</t>
  </si>
  <si>
    <t>Polyplex Corporation Ltd.</t>
  </si>
  <si>
    <t>NSE:POLYPLEX</t>
  </si>
  <si>
    <t>Power Finance Corporation Ltd.</t>
  </si>
  <si>
    <t>NSE:PFC</t>
  </si>
  <si>
    <t>Power Grid Corporation of India Ltd.</t>
  </si>
  <si>
    <t>NSE:POWERGRID</t>
  </si>
  <si>
    <t>Prestige Estates Projects Ltd.</t>
  </si>
  <si>
    <t>NSE:PRESTIGE</t>
  </si>
  <si>
    <t>Prince Pipes and Fittings Ltd.</t>
  </si>
  <si>
    <t>NSE:PRINCEPIPE</t>
  </si>
  <si>
    <t>Prism Johnson Ltd.</t>
  </si>
  <si>
    <t>NSE:PRSMJOHNSN</t>
  </si>
  <si>
    <t>Procter &amp; Gamble Health Ltd.</t>
  </si>
  <si>
    <t>NSE:PGHL</t>
  </si>
  <si>
    <t>Procter &amp; Gamble Hygiene &amp; Health Care Ltd.</t>
  </si>
  <si>
    <t>NSE:PGHH</t>
  </si>
  <si>
    <t>Punjab National Bank</t>
  </si>
  <si>
    <t>NSE:PNB</t>
  </si>
  <si>
    <t>Quess Corp Ltd.</t>
  </si>
  <si>
    <t>NSE:QUESS</t>
  </si>
  <si>
    <t>RBL Bank Ltd.</t>
  </si>
  <si>
    <t>NSE:RBLBANK</t>
  </si>
  <si>
    <t>REC Ltd.</t>
  </si>
  <si>
    <t>NSE:RECLTD</t>
  </si>
  <si>
    <t>RITES Ltd.</t>
  </si>
  <si>
    <t>NSE:RITES</t>
  </si>
  <si>
    <t>Radico Khaitan Ltd</t>
  </si>
  <si>
    <t>NSE:RADICO</t>
  </si>
  <si>
    <t>Rail Vikas Nigam Ltd.</t>
  </si>
  <si>
    <t>NSE:RVNL</t>
  </si>
  <si>
    <t>Rain Industries Ltd</t>
  </si>
  <si>
    <t>NSE:RAIN</t>
  </si>
  <si>
    <t>Rajesh Exports Ltd.</t>
  </si>
  <si>
    <t>NSE:RAJESHEXPO</t>
  </si>
  <si>
    <t>Rallis India Ltd.</t>
  </si>
  <si>
    <t>NSE:RALLIS</t>
  </si>
  <si>
    <t>Rashtriya Chemicals &amp; Fertilizers Ltd.</t>
  </si>
  <si>
    <t>NSE:RCF</t>
  </si>
  <si>
    <t>Ratnamani Metals &amp; Tubes Ltd.</t>
  </si>
  <si>
    <t>NSE:RATNAMANI</t>
  </si>
  <si>
    <t>Raymond Ltd.</t>
  </si>
  <si>
    <t>NSE:RAYMOND</t>
  </si>
  <si>
    <t>Redington (India) Ltd.</t>
  </si>
  <si>
    <t>NSE:REDINGTON</t>
  </si>
  <si>
    <t>Relaxo Footwears Ltd.</t>
  </si>
  <si>
    <t>NSE:RELAXO</t>
  </si>
  <si>
    <t>Reliance Industries Ltd.</t>
  </si>
  <si>
    <t>NSE:RELIANCE</t>
  </si>
  <si>
    <t>Responsive Industries Ltd.</t>
  </si>
  <si>
    <t>NSE:RESPONIND</t>
  </si>
  <si>
    <t>Rossari Biotech Ltd.</t>
  </si>
  <si>
    <t>NSE:ROSSARI</t>
  </si>
  <si>
    <t>Route Mobile Ltd.</t>
  </si>
  <si>
    <t>NSE:ROUTE</t>
  </si>
  <si>
    <t>SBI Cards and Payment Services Ltd.</t>
  </si>
  <si>
    <t>NSE:SBICARD</t>
  </si>
  <si>
    <t>SBI Life Insurance Company Ltd.</t>
  </si>
  <si>
    <t>NSE:SBILIFE</t>
  </si>
  <si>
    <t>SIS Ltd.</t>
  </si>
  <si>
    <t>NSE:SIS</t>
  </si>
  <si>
    <t>SJVN Ltd.</t>
  </si>
  <si>
    <t>NSE:SJVN</t>
  </si>
  <si>
    <t>SKF India Ltd.</t>
  </si>
  <si>
    <t>NSE:SKFINDIA</t>
  </si>
  <si>
    <t>SRF Ltd.</t>
  </si>
  <si>
    <t>NSE:SRF</t>
  </si>
  <si>
    <t>Sanofi India Ltd.</t>
  </si>
  <si>
    <t>NSE:SANOFI</t>
  </si>
  <si>
    <t>Schaeffler India Ltd.</t>
  </si>
  <si>
    <t>NSE:SCHAEFFLER</t>
  </si>
  <si>
    <t>Schneider Electric Infrastructure Ltd.</t>
  </si>
  <si>
    <t>NSE:SCHNEIDER</t>
  </si>
  <si>
    <t>Sequent Scientific Ltd.</t>
  </si>
  <si>
    <t>NSE:SEQUENT</t>
  </si>
  <si>
    <t>Sharda Cropchem Ltd.</t>
  </si>
  <si>
    <t>NSE:SHARDACROP</t>
  </si>
  <si>
    <t>Sheela Foam Ltd.</t>
  </si>
  <si>
    <t>NSE:SFL</t>
  </si>
  <si>
    <t>Shilpa Medicare Ltd.</t>
  </si>
  <si>
    <t>NSE:SHILPAMED</t>
  </si>
  <si>
    <t>Shipping Corporation of India Ltd.</t>
  </si>
  <si>
    <t>NSE:SCI</t>
  </si>
  <si>
    <t>Shoppers Stop Ltd.</t>
  </si>
  <si>
    <t>NSE:SHOPERSTOP</t>
  </si>
  <si>
    <t>Shree Cement Ltd.</t>
  </si>
  <si>
    <t>NSE:SHREECEM</t>
  </si>
  <si>
    <t>Shriram City Union Finance Ltd.</t>
  </si>
  <si>
    <t>NSE:SHRIRAMCIT</t>
  </si>
  <si>
    <t>Shriram Transport Finance Co. Ltd.</t>
  </si>
  <si>
    <t>NSE:SRTRANSFIN</t>
  </si>
  <si>
    <t>Siemens Ltd.</t>
  </si>
  <si>
    <t>NSE:SIEMENS</t>
  </si>
  <si>
    <t>Sobha Ltd.</t>
  </si>
  <si>
    <t>NSE:SOBHA</t>
  </si>
  <si>
    <t>Solar Industries India Ltd.</t>
  </si>
  <si>
    <t>NSE:SOLARINDS</t>
  </si>
  <si>
    <t>Solara Active Pharma Sciences Ltd.</t>
  </si>
  <si>
    <t>NSE:SOLARA</t>
  </si>
  <si>
    <t>Sonata Software Ltd.</t>
  </si>
  <si>
    <t>NSE:SONATSOFTW</t>
  </si>
  <si>
    <t>Spandana Sphoorty Financial Ltd.</t>
  </si>
  <si>
    <t>NSE:SPANDANA</t>
  </si>
  <si>
    <t>Spicejet Ltd.</t>
  </si>
  <si>
    <t>NSE:SPICEJET</t>
  </si>
  <si>
    <t>Star Cement Ltd.</t>
  </si>
  <si>
    <t>NSE:STARCEMENT</t>
  </si>
  <si>
    <t>State Bank of India</t>
  </si>
  <si>
    <t>NSE:SBIN</t>
  </si>
  <si>
    <t>Steel Authority of India Ltd.</t>
  </si>
  <si>
    <t>NSE:SAIL</t>
  </si>
  <si>
    <t>Sterling And Wilson Solar Ltd.</t>
  </si>
  <si>
    <t>NSE:SWSOLAR</t>
  </si>
  <si>
    <t>Sterlite Technologies Ltd.</t>
  </si>
  <si>
    <t>NSE:STLTECH</t>
  </si>
  <si>
    <t>Strides Pharma Science Ltd.</t>
  </si>
  <si>
    <t>NSE:STAR</t>
  </si>
  <si>
    <t>Sudarshan Chemical Industries Ltd.</t>
  </si>
  <si>
    <t>NSE:SUDARSCHEM</t>
  </si>
  <si>
    <t>Sumitomo Chemical India Ltd.</t>
  </si>
  <si>
    <t>NSE:SUMICHEM</t>
  </si>
  <si>
    <t>Sun Pharma Advanced Research Company Ltd.</t>
  </si>
  <si>
    <t>NSE:SPARC</t>
  </si>
  <si>
    <t>Sun Pharmaceutical Industries Ltd.</t>
  </si>
  <si>
    <t>NSE:SUNPHARMA</t>
  </si>
  <si>
    <t>Sun TV Network Ltd.</t>
  </si>
  <si>
    <t>NSE:SUNTV</t>
  </si>
  <si>
    <t>Sundaram Clayton Ltd.</t>
  </si>
  <si>
    <t>NSE:SUNCLAYLTD</t>
  </si>
  <si>
    <t>Sundaram Finance Ltd.</t>
  </si>
  <si>
    <t>NSE:SUNDARMFIN</t>
  </si>
  <si>
    <t>Sundram Fasteners Ltd.</t>
  </si>
  <si>
    <t>NSE:SUNDRMFAST</t>
  </si>
  <si>
    <t>Sunteck Realty Ltd.</t>
  </si>
  <si>
    <t>NSE:SUNTECK</t>
  </si>
  <si>
    <t>Suprajit Engineering Ltd.</t>
  </si>
  <si>
    <t>NSE:SUPRAJIT</t>
  </si>
  <si>
    <t>Supreme Industries Ltd.</t>
  </si>
  <si>
    <t>NSE:SUPREMEIND</t>
  </si>
  <si>
    <t>Supreme Petrochem Ltd.</t>
  </si>
  <si>
    <t>NSE:SUPPETRO</t>
  </si>
  <si>
    <t>Suven Pharmaceuticals Ltd.</t>
  </si>
  <si>
    <t>NSE:SUVENPHAR</t>
  </si>
  <si>
    <t>Suzlon Energy Ltd.</t>
  </si>
  <si>
    <t>NSE:SUZLON</t>
  </si>
  <si>
    <t>Swan Energy Ltd.</t>
  </si>
  <si>
    <t>NSE:SWANENERGY</t>
  </si>
  <si>
    <t>Symphony Ltd.</t>
  </si>
  <si>
    <t>NSE:SYMPHONY</t>
  </si>
  <si>
    <t>Syngene International Ltd.</t>
  </si>
  <si>
    <t>NSE:SYNGENE</t>
  </si>
  <si>
    <t>TCI Express Ltd.</t>
  </si>
  <si>
    <t>NSE:TCIEXP</t>
  </si>
  <si>
    <t>TCNS Clothing Co. Ltd.</t>
  </si>
  <si>
    <t>NSE:TCNSBRANDS</t>
  </si>
  <si>
    <t>TTK Prestige Ltd.</t>
  </si>
  <si>
    <t>NSE:TTKPRESTIG</t>
  </si>
  <si>
    <t>TV18 Broadcast Ltd.</t>
  </si>
  <si>
    <t>NSE:TV18BRDCST</t>
  </si>
  <si>
    <t>TVS Motor Company Ltd.</t>
  </si>
  <si>
    <t>NSE:TVSMOTOR</t>
  </si>
  <si>
    <t>Tanla Platforms Ltd.</t>
  </si>
  <si>
    <t>NSE:TANLA</t>
  </si>
  <si>
    <t>Tasty Bite Eatables Ltd.</t>
  </si>
  <si>
    <t>NSE:TASTYBITE</t>
  </si>
  <si>
    <t>Tata Chemicals Ltd.</t>
  </si>
  <si>
    <t>NSE:TATACHEM</t>
  </si>
  <si>
    <t>Tata Coffee Ltd.</t>
  </si>
  <si>
    <t>NSE:TATACOFFEE</t>
  </si>
  <si>
    <t>Tata Communications Ltd.</t>
  </si>
  <si>
    <t>NSE:TATACOMM</t>
  </si>
  <si>
    <t>Tata Consultancy Services Ltd.</t>
  </si>
  <si>
    <t>NSE:TCS</t>
  </si>
  <si>
    <t>Tata Consumer Products Ltd.</t>
  </si>
  <si>
    <t>NSE:TATACONSUM</t>
  </si>
  <si>
    <t>Tata Elxsi Ltd.</t>
  </si>
  <si>
    <t>NSE:TATAELXSI</t>
  </si>
  <si>
    <t>Tata Investment Corporation Ltd.</t>
  </si>
  <si>
    <t>NSE:TATAINVEST</t>
  </si>
  <si>
    <t>Tata Motors Ltd DVR</t>
  </si>
  <si>
    <t>NSE:TATAMTRDVR</t>
  </si>
  <si>
    <t>Tata Motors Ltd.</t>
  </si>
  <si>
    <t>NSE:TATAMOTORS</t>
  </si>
  <si>
    <t>Tata Power Co. Ltd.</t>
  </si>
  <si>
    <t>NSE:TATAPOWER</t>
  </si>
  <si>
    <t>Tata Steel Ltd.</t>
  </si>
  <si>
    <t>NSE:TATASTEEL</t>
  </si>
  <si>
    <t>Teamlease Services Ltd.</t>
  </si>
  <si>
    <t>NSE:TEAMLEASE</t>
  </si>
  <si>
    <t>Tech Mahindra Ltd.</t>
  </si>
  <si>
    <t>NSE:TECHM</t>
  </si>
  <si>
    <t>The New India Assurance Company Ltd.</t>
  </si>
  <si>
    <t>NSE:NIACL</t>
  </si>
  <si>
    <t>The Ramco Cements Ltd.</t>
  </si>
  <si>
    <t>NSE:RAMCOCEM</t>
  </si>
  <si>
    <t>Thermax Ltd.</t>
  </si>
  <si>
    <t>NSE:THERMAX</t>
  </si>
  <si>
    <t>Thyrocare Technologies Ltd.</t>
  </si>
  <si>
    <t>NSE:THYROCARE</t>
  </si>
  <si>
    <t>Timken India Ltd.</t>
  </si>
  <si>
    <t>NSE:TIMKEN</t>
  </si>
  <si>
    <t>Titan Company Ltd.</t>
  </si>
  <si>
    <t>NSE:TITAN</t>
  </si>
  <si>
    <t>Torrent Pharmaceuticals Ltd.</t>
  </si>
  <si>
    <t>NSE:TORNTPHARM</t>
  </si>
  <si>
    <t>Torrent Power Ltd.</t>
  </si>
  <si>
    <t>NSE:TORNTPOWER</t>
  </si>
  <si>
    <t>Trent Ltd.</t>
  </si>
  <si>
    <t>NSE:TRENT</t>
  </si>
  <si>
    <t>Trident Ltd.</t>
  </si>
  <si>
    <t>NSE:TRIDENT</t>
  </si>
  <si>
    <t>Triveni Turbine Ltd.</t>
  </si>
  <si>
    <t>NSE:TRITURBINE</t>
  </si>
  <si>
    <t>Tube Investments of India Ltd.</t>
  </si>
  <si>
    <t>NSE:TIINDIA</t>
  </si>
  <si>
    <t>UCO Bank</t>
  </si>
  <si>
    <t>NSE:UCOBANK</t>
  </si>
  <si>
    <t>UFLEX Ltd.</t>
  </si>
  <si>
    <t>NSE:UFLEX</t>
  </si>
  <si>
    <t>UPL Ltd.</t>
  </si>
  <si>
    <t>NSE:UPL</t>
  </si>
  <si>
    <t>UTI Asset Management Company Ltd.</t>
  </si>
  <si>
    <t>NSE:UTIAMC</t>
  </si>
  <si>
    <t>Ujjivan Financial Services Ltd.</t>
  </si>
  <si>
    <t>NSE:UJJIVAN</t>
  </si>
  <si>
    <t>Ujjivan Small Finance Bank Ltd.</t>
  </si>
  <si>
    <t>NSE:UJJIVANSFB</t>
  </si>
  <si>
    <t>UltraTech Cement Ltd.</t>
  </si>
  <si>
    <t>NSE:ULTRACEMCO</t>
  </si>
  <si>
    <t>Union Bank of India</t>
  </si>
  <si>
    <t>NSE:UNIONBANK</t>
  </si>
  <si>
    <t>United Breweries Ltd.</t>
  </si>
  <si>
    <t>NSE:UBL</t>
  </si>
  <si>
    <t>United Spirits Ltd.</t>
  </si>
  <si>
    <t>NSE:MCDOWELL-N</t>
  </si>
  <si>
    <t>V-Guard Industries Ltd.</t>
  </si>
  <si>
    <t>NSE:VGUARD</t>
  </si>
  <si>
    <t>V-Mart Retail Ltd.</t>
  </si>
  <si>
    <t>NSE:VMART</t>
  </si>
  <si>
    <t>V.I.P. Industries Ltd.</t>
  </si>
  <si>
    <t>NSE:VIPIND</t>
  </si>
  <si>
    <t>VST Industries Ltd.</t>
  </si>
  <si>
    <t>NSE:VSTIND</t>
  </si>
  <si>
    <t>Vaibhav Global Ltd.</t>
  </si>
  <si>
    <t>NSE:VAIBHAVGBL</t>
  </si>
  <si>
    <t>Vakrangee Ltd.</t>
  </si>
  <si>
    <t>NSE:VAKRANGEE</t>
  </si>
  <si>
    <t>Valiant Organics Ltd.</t>
  </si>
  <si>
    <t>NSE:VALIANTORG</t>
  </si>
  <si>
    <t>Vardhman Textiles Ltd.</t>
  </si>
  <si>
    <t>NSE:VTL</t>
  </si>
  <si>
    <t>Varroc Engineering Ltd.</t>
  </si>
  <si>
    <t>NSE:VARROC</t>
  </si>
  <si>
    <t>Varun Beverages Ltd.</t>
  </si>
  <si>
    <t>NSE:VBL</t>
  </si>
  <si>
    <t>Vedanta Ltd.</t>
  </si>
  <si>
    <t>NSE:VEDL</t>
  </si>
  <si>
    <t>Venky's (India) Ltd.</t>
  </si>
  <si>
    <t>NSE:VENKEYS</t>
  </si>
  <si>
    <t>Vinati Organics Ltd.</t>
  </si>
  <si>
    <t>NSE:VINATIORGA</t>
  </si>
  <si>
    <t>Vodafone Idea Ltd.</t>
  </si>
  <si>
    <t>NSE:IDEA</t>
  </si>
  <si>
    <t>Voltas Ltd.</t>
  </si>
  <si>
    <t>NSE:VOLTAS</t>
  </si>
  <si>
    <t>WABCO India Ltd.</t>
  </si>
  <si>
    <t>NSE:WABCOINDIA</t>
  </si>
  <si>
    <t>Welspun Corp Ltd.</t>
  </si>
  <si>
    <t>NSE:WELCORP</t>
  </si>
  <si>
    <t>Welspun India Ltd.</t>
  </si>
  <si>
    <t>NSE:WELSPUNIND</t>
  </si>
  <si>
    <t>Westlife Development Ltd.</t>
  </si>
  <si>
    <t>NSE:WESTLIFE</t>
  </si>
  <si>
    <t>Whirlpool of India Ltd.</t>
  </si>
  <si>
    <t>NSE:WHIRLPOOL</t>
  </si>
  <si>
    <t>Wipro Ltd.</t>
  </si>
  <si>
    <t>NSE:WIPRO</t>
  </si>
  <si>
    <t>Wockhardt Ltd.</t>
  </si>
  <si>
    <t>NSE:WOCKPHARMA</t>
  </si>
  <si>
    <t>Yes Bank Ltd.</t>
  </si>
  <si>
    <t>NSE:YESBANK</t>
  </si>
  <si>
    <t>Zee Entertainment Enterprises Ltd.</t>
  </si>
  <si>
    <t>NSE:ZEEL</t>
  </si>
  <si>
    <t>Zensar Technolgies Ltd.</t>
  </si>
  <si>
    <t>NSE:ZENSARTECH</t>
  </si>
  <si>
    <t>Zydus Wellness Ltd.</t>
  </si>
  <si>
    <t>NSE:ZYDUSWELL</t>
  </si>
  <si>
    <t>eClerx Services Ltd.</t>
  </si>
  <si>
    <t>NSE:ECLERX</t>
  </si>
  <si>
    <t>Stock Name</t>
  </si>
  <si>
    <t>Amount Invested</t>
  </si>
  <si>
    <t>Stock Price</t>
  </si>
  <si>
    <t>Qty Bought</t>
  </si>
  <si>
    <t>Market Value</t>
  </si>
  <si>
    <t>Asian Paints</t>
  </si>
  <si>
    <t>Bajaj Finance</t>
  </si>
  <si>
    <t>Bata India</t>
  </si>
  <si>
    <t>Jubilant Food</t>
  </si>
  <si>
    <t>Motherson Sumi</t>
  </si>
  <si>
    <t>Pidilite</t>
  </si>
  <si>
    <t>Reliance Industries</t>
  </si>
  <si>
    <t>Tata Steel</t>
  </si>
  <si>
    <t>Date of Trade</t>
  </si>
  <si>
    <t>Profit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</si>
</sst>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4140625" defaultRowHeight="15.75" customHeight="1" x14ac:dyDescent="0.25"/>
  <cols>
    <col min="1" max="1" width="40" customWidth="1"/>
    <col min="2" max="2" width="28.6640625" customWidth="1"/>
    <col min="3" max="3" width="18.33203125" customWidth="1"/>
    <col min="6" max="6" width="15.6640625" customWidth="1"/>
    <col min="7" max="7" width="21" customWidth="1"/>
    <col min="10" max="10" width="21" customWidth="1"/>
    <col min="11" max="11" width="18.5546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 t="str">
        <f ca="1">IFERROR(__xludf.DUMMYFUNCTION("GOOGLEFINANCE(""INDEXNSE:NIFTY_50"",""All"",""01/01/2020"",TODAY(),""weekly"")"),"Date")</f>
        <v>Date</v>
      </c>
      <c r="L1" s="4" t="str">
        <f ca="1">IFERROR(__xludf.DUMMYFUNCTION("""COMPUTED_VALUE"""),"Open")</f>
        <v>Open</v>
      </c>
      <c r="M1" s="4" t="str">
        <f ca="1">IFERROR(__xludf.DUMMYFUNCTION("""COMPUTED_VALUE"""),"High")</f>
        <v>High</v>
      </c>
      <c r="N1" s="4" t="str">
        <f ca="1">IFERROR(__xludf.DUMMYFUNCTION("""COMPUTED_VALUE"""),"Low")</f>
        <v>Low</v>
      </c>
      <c r="O1" s="4" t="str">
        <f ca="1">IFERROR(__xludf.DUMMYFUNCTION("""COMPUTED_VALUE"""),"Close")</f>
        <v>Close</v>
      </c>
      <c r="P1" s="4" t="str">
        <f ca="1">IFERROR(__xludf.DUMMYFUNCTION("""COMPUTED_VALUE"""),"Volume")</f>
        <v>Volume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6" t="s">
        <v>10</v>
      </c>
      <c r="B2" s="6" t="s">
        <v>11</v>
      </c>
      <c r="C2" s="7" t="s">
        <v>12</v>
      </c>
      <c r="D2" s="7" t="s">
        <v>13</v>
      </c>
      <c r="E2" s="8">
        <f ca="1">IFERROR(__xludf.DUMMYFUNCTION("GOOGLEFINANCE(C2,""Price"")"),25155)</f>
        <v>25155</v>
      </c>
      <c r="F2" s="9">
        <f ca="1">IFERROR(__xludf.DUMMYFUNCTION("GOOGLEFINANCE(C2,""change"")"),285.5)</f>
        <v>285.5</v>
      </c>
      <c r="G2" s="10">
        <f ca="1">IFERROR(__xludf.DUMMYFUNCTION("GOOGLEFINANCE(C2,""Changepct"")/100"),0.0115)</f>
        <v>1.15E-2</v>
      </c>
      <c r="H2" s="11">
        <f ca="1">IFERROR(__xludf.DUMMYFUNCTION("GOOGLEFINANCE(C2,""Marketcap"")"),285076771417)</f>
        <v>285076771417</v>
      </c>
      <c r="I2" s="9">
        <f ca="1">IFERROR(__xludf.DUMMYFUNCTION("GOOGLEFINANCE(""INDEXNSE:NIFTY_50"",""price"")"),14696.5)</f>
        <v>14696.5</v>
      </c>
      <c r="J2" s="12">
        <f ca="1">IFERROR(__xludf.DUMMYFUNCTION("GOOGLEFINANCE(""INDEXNSE:NIFTY_50"",""changepct"")/100"),-0.0104)</f>
        <v>-1.04E-2</v>
      </c>
      <c r="K2" s="13">
        <f ca="1">IFERROR(__xludf.DUMMYFUNCTION("""COMPUTED_VALUE"""),43833.6458333333)</f>
        <v>43833.645833333299</v>
      </c>
      <c r="L2" s="14">
        <f ca="1">IFERROR(__xludf.DUMMYFUNCTION("""COMPUTED_VALUE"""),12274.9)</f>
        <v>12274.9</v>
      </c>
      <c r="M2" s="14">
        <f ca="1">IFERROR(__xludf.DUMMYFUNCTION("""COMPUTED_VALUE"""),12289.9)</f>
        <v>12289.9</v>
      </c>
      <c r="N2" s="14">
        <f ca="1">IFERROR(__xludf.DUMMYFUNCTION("""COMPUTED_VALUE"""),12151.8)</f>
        <v>12151.8</v>
      </c>
      <c r="O2" s="14">
        <f ca="1">IFERROR(__xludf.DUMMYFUNCTION("""COMPUTED_VALUE"""),12226.65)</f>
        <v>12226.65</v>
      </c>
      <c r="P2" s="14">
        <f ca="1">IFERROR(__xludf.DUMMYFUNCTION("""COMPUTED_VALUE"""),0)</f>
        <v>0</v>
      </c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3">
      <c r="A3" s="6" t="s">
        <v>14</v>
      </c>
      <c r="B3" s="6" t="s">
        <v>15</v>
      </c>
      <c r="C3" s="7" t="s">
        <v>16</v>
      </c>
      <c r="D3" s="7" t="s">
        <v>13</v>
      </c>
      <c r="E3" s="8">
        <f ca="1">IFERROR(__xludf.DUMMYFUNCTION("GOOGLEFINANCE(C3,""Price"")"),1409)</f>
        <v>1409</v>
      </c>
      <c r="F3" s="9">
        <f ca="1">IFERROR(__xludf.DUMMYFUNCTION("GOOGLEFINANCE(C3,""change"")"),40.15)</f>
        <v>40.15</v>
      </c>
      <c r="G3" s="10">
        <f ca="1">IFERROR(__xludf.DUMMYFUNCTION("GOOGLEFINANCE(C3,""Changepct"")/100"),0.0293)</f>
        <v>2.93E-2</v>
      </c>
      <c r="H3" s="11">
        <f ca="1">IFERROR(__xludf.DUMMYFUNCTION("GOOGLEFINANCE(C3,""Marketcap"")"),297522070300)</f>
        <v>297522070300</v>
      </c>
      <c r="I3" s="9"/>
      <c r="J3" s="14"/>
      <c r="K3" s="13">
        <f ca="1">IFERROR(__xludf.DUMMYFUNCTION("""COMPUTED_VALUE"""),43840.6458333333)</f>
        <v>43840.645833333299</v>
      </c>
      <c r="L3" s="14">
        <f ca="1">IFERROR(__xludf.DUMMYFUNCTION("""COMPUTED_VALUE"""),12170.6)</f>
        <v>12170.6</v>
      </c>
      <c r="M3" s="14">
        <f ca="1">IFERROR(__xludf.DUMMYFUNCTION("""COMPUTED_VALUE"""),12311.2)</f>
        <v>12311.2</v>
      </c>
      <c r="N3" s="14">
        <f ca="1">IFERROR(__xludf.DUMMYFUNCTION("""COMPUTED_VALUE"""),11929.6)</f>
        <v>11929.6</v>
      </c>
      <c r="O3" s="14">
        <f ca="1">IFERROR(__xludf.DUMMYFUNCTION("""COMPUTED_VALUE"""),12256.8)</f>
        <v>12256.8</v>
      </c>
      <c r="P3" s="14">
        <f ca="1">IFERROR(__xludf.DUMMYFUNCTION("""COMPUTED_VALUE"""),0)</f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3">
      <c r="A4" s="6" t="s">
        <v>17</v>
      </c>
      <c r="B4" s="6" t="s">
        <v>15</v>
      </c>
      <c r="C4" s="7" t="s">
        <v>18</v>
      </c>
      <c r="D4" s="7" t="s">
        <v>13</v>
      </c>
      <c r="E4" s="8">
        <f ca="1">IFERROR(__xludf.DUMMYFUNCTION("GOOGLEFINANCE(C4,""Price"")"),1720)</f>
        <v>1720</v>
      </c>
      <c r="F4" s="9">
        <f ca="1">IFERROR(__xludf.DUMMYFUNCTION("GOOGLEFINANCE(C4,""change"")"),0.9)</f>
        <v>0.9</v>
      </c>
      <c r="G4" s="10">
        <f ca="1">IFERROR(__xludf.DUMMYFUNCTION("GOOGLEFINANCE(C4,""Changepct"")/100"),0.0005)</f>
        <v>5.0000000000000001E-4</v>
      </c>
      <c r="H4" s="11">
        <f ca="1">IFERROR(__xludf.DUMMYFUNCTION("GOOGLEFINANCE(C4,""Marketcap"")"),72896472400)</f>
        <v>72896472400</v>
      </c>
      <c r="I4" s="9"/>
      <c r="J4" s="14"/>
      <c r="K4" s="13">
        <f ca="1">IFERROR(__xludf.DUMMYFUNCTION("""COMPUTED_VALUE"""),43847.6458333333)</f>
        <v>43847.645833333299</v>
      </c>
      <c r="L4" s="14">
        <f ca="1">IFERROR(__xludf.DUMMYFUNCTION("""COMPUTED_VALUE"""),12296.7)</f>
        <v>12296.7</v>
      </c>
      <c r="M4" s="14">
        <f ca="1">IFERROR(__xludf.DUMMYFUNCTION("""COMPUTED_VALUE"""),12389.05)</f>
        <v>12389.05</v>
      </c>
      <c r="N4" s="14">
        <f ca="1">IFERROR(__xludf.DUMMYFUNCTION("""COMPUTED_VALUE"""),12278.75)</f>
        <v>12278.75</v>
      </c>
      <c r="O4" s="14">
        <f ca="1">IFERROR(__xludf.DUMMYFUNCTION("""COMPUTED_VALUE"""),12352.35)</f>
        <v>12352.35</v>
      </c>
      <c r="P4" s="14">
        <f ca="1">IFERROR(__xludf.DUMMYFUNCTION("""COMPUTED_VALUE"""),0)</f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3">
      <c r="A5" s="6" t="s">
        <v>19</v>
      </c>
      <c r="B5" s="6" t="s">
        <v>20</v>
      </c>
      <c r="C5" s="7" t="s">
        <v>21</v>
      </c>
      <c r="D5" s="7" t="s">
        <v>22</v>
      </c>
      <c r="E5" s="8">
        <f ca="1">IFERROR(__xludf.DUMMYFUNCTION("GOOGLEFINANCE(C5,""Price"")"),1886.2)</f>
        <v>1886.2</v>
      </c>
      <c r="F5" s="9">
        <f ca="1">IFERROR(__xludf.DUMMYFUNCTION("GOOGLEFINANCE(C5,""change"")"),-23.75)</f>
        <v>-23.75</v>
      </c>
      <c r="G5" s="10">
        <f ca="1">IFERROR(__xludf.DUMMYFUNCTION("GOOGLEFINANCE(C5,""Changepct"")/100"),-0.0124)</f>
        <v>-1.24E-2</v>
      </c>
      <c r="H5" s="11">
        <f ca="1">IFERROR(__xludf.DUMMYFUNCTION("GOOGLEFINANCE(C5,""Marketcap"")"),353687515770)</f>
        <v>353687515770</v>
      </c>
      <c r="I5" s="9"/>
      <c r="J5" s="14"/>
      <c r="K5" s="13">
        <f ca="1">IFERROR(__xludf.DUMMYFUNCTION("""COMPUTED_VALUE"""),43854.6458333333)</f>
        <v>43854.645833333299</v>
      </c>
      <c r="L5" s="14">
        <f ca="1">IFERROR(__xludf.DUMMYFUNCTION("""COMPUTED_VALUE"""),12430.5)</f>
        <v>12430.5</v>
      </c>
      <c r="M5" s="14">
        <f ca="1">IFERROR(__xludf.DUMMYFUNCTION("""COMPUTED_VALUE"""),12430.5)</f>
        <v>12430.5</v>
      </c>
      <c r="N5" s="14">
        <f ca="1">IFERROR(__xludf.DUMMYFUNCTION("""COMPUTED_VALUE"""),12087.9)</f>
        <v>12087.9</v>
      </c>
      <c r="O5" s="14">
        <f ca="1">IFERROR(__xludf.DUMMYFUNCTION("""COMPUTED_VALUE"""),12248.25)</f>
        <v>12248.25</v>
      </c>
      <c r="P5" s="14">
        <f ca="1">IFERROR(__xludf.DUMMYFUNCTION("""COMPUTED_VALUE"""),0)</f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3">
      <c r="A6" s="6" t="s">
        <v>23</v>
      </c>
      <c r="B6" s="6" t="s">
        <v>15</v>
      </c>
      <c r="C6" s="7" t="s">
        <v>24</v>
      </c>
      <c r="D6" s="7" t="s">
        <v>13</v>
      </c>
      <c r="E6" s="8">
        <f ca="1">IFERROR(__xludf.DUMMYFUNCTION("GOOGLEFINANCE(C6,""Price"")"),1908.9)</f>
        <v>1908.9</v>
      </c>
      <c r="F6" s="9">
        <f ca="1">IFERROR(__xludf.DUMMYFUNCTION("GOOGLEFINANCE(C6,""change"")"),65.5)</f>
        <v>65.5</v>
      </c>
      <c r="G6" s="10">
        <f ca="1">IFERROR(__xludf.DUMMYFUNCTION("GOOGLEFINANCE(C6,""Changepct"")/100"),0.0355)</f>
        <v>3.5499999999999997E-2</v>
      </c>
      <c r="H6" s="11">
        <f ca="1">IFERROR(__xludf.DUMMYFUNCTION("GOOGLEFINANCE(C6,""Marketcap"")"),180048175684)</f>
        <v>180048175684</v>
      </c>
      <c r="I6" s="9"/>
      <c r="J6" s="14"/>
      <c r="K6" s="13">
        <f ca="1">IFERROR(__xludf.DUMMYFUNCTION("""COMPUTED_VALUE"""),43862.7083333333)</f>
        <v>43862.708333333299</v>
      </c>
      <c r="L6" s="14">
        <f ca="1">IFERROR(__xludf.DUMMYFUNCTION("""COMPUTED_VALUE"""),12197.1)</f>
        <v>12197.1</v>
      </c>
      <c r="M6" s="14">
        <f ca="1">IFERROR(__xludf.DUMMYFUNCTION("""COMPUTED_VALUE"""),12216.6)</f>
        <v>12216.6</v>
      </c>
      <c r="N6" s="14">
        <f ca="1">IFERROR(__xludf.DUMMYFUNCTION("""COMPUTED_VALUE"""),11633.3)</f>
        <v>11633.3</v>
      </c>
      <c r="O6" s="14">
        <f ca="1">IFERROR(__xludf.DUMMYFUNCTION("""COMPUTED_VALUE"""),11641.25)</f>
        <v>11641.25</v>
      </c>
      <c r="P6" s="14">
        <f ca="1">IFERROR(__xludf.DUMMYFUNCTION("""COMPUTED_VALUE"""),0)</f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3">
      <c r="A7" s="6" t="s">
        <v>25</v>
      </c>
      <c r="B7" s="6" t="s">
        <v>26</v>
      </c>
      <c r="C7" s="7" t="s">
        <v>27</v>
      </c>
      <c r="D7" s="7" t="s">
        <v>13</v>
      </c>
      <c r="E7" s="8">
        <f ca="1">IFERROR(__xludf.DUMMYFUNCTION("GOOGLEFINANCE(C7,""Price"")"),1250.5)</f>
        <v>1250.5</v>
      </c>
      <c r="F7" s="9">
        <f ca="1">IFERROR(__xludf.DUMMYFUNCTION("GOOGLEFINANCE(C7,""change"")"),1.1)</f>
        <v>1.1000000000000001</v>
      </c>
      <c r="G7" s="10">
        <f ca="1">IFERROR(__xludf.DUMMYFUNCTION("GOOGLEFINANCE(C7,""Changepct"")/100"),0.0009)</f>
        <v>8.9999999999999998E-4</v>
      </c>
      <c r="H7" s="11">
        <f ca="1">IFERROR(__xludf.DUMMYFUNCTION("GOOGLEFINANCE(C7,""Marketcap"")"),155764252800)</f>
        <v>155764252800</v>
      </c>
      <c r="I7" s="9"/>
      <c r="J7" s="14"/>
      <c r="K7" s="13">
        <f ca="1">IFERROR(__xludf.DUMMYFUNCTION("""COMPUTED_VALUE"""),43868.6458333333)</f>
        <v>43868.645833333299</v>
      </c>
      <c r="L7" s="14">
        <f ca="1">IFERROR(__xludf.DUMMYFUNCTION("""COMPUTED_VALUE"""),11627.45)</f>
        <v>11627.45</v>
      </c>
      <c r="M7" s="14">
        <f ca="1">IFERROR(__xludf.DUMMYFUNCTION("""COMPUTED_VALUE"""),12160.6)</f>
        <v>12160.6</v>
      </c>
      <c r="N7" s="14">
        <f ca="1">IFERROR(__xludf.DUMMYFUNCTION("""COMPUTED_VALUE"""),11614.5)</f>
        <v>11614.5</v>
      </c>
      <c r="O7" s="14">
        <f ca="1">IFERROR(__xludf.DUMMYFUNCTION("""COMPUTED_VALUE"""),12098.35)</f>
        <v>12098.35</v>
      </c>
      <c r="P7" s="14">
        <f ca="1">IFERROR(__xludf.DUMMYFUNCTION("""COMPUTED_VALUE"""),0)</f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3">
      <c r="A8" s="6" t="s">
        <v>28</v>
      </c>
      <c r="B8" s="6" t="s">
        <v>29</v>
      </c>
      <c r="C8" s="7" t="s">
        <v>30</v>
      </c>
      <c r="D8" s="7" t="s">
        <v>22</v>
      </c>
      <c r="E8" s="8">
        <f ca="1">IFERROR(__xludf.DUMMYFUNCTION("GOOGLEFINANCE(C8,""Price"")"),956.95)</f>
        <v>956.95</v>
      </c>
      <c r="F8" s="9">
        <f ca="1">IFERROR(__xludf.DUMMYFUNCTION("GOOGLEFINANCE(C8,""change"")"),-12.8)</f>
        <v>-12.8</v>
      </c>
      <c r="G8" s="10">
        <f ca="1">IFERROR(__xludf.DUMMYFUNCTION("GOOGLEFINANCE(C8,""Changepct"")/100"),-0.0132)</f>
        <v>-1.32E-2</v>
      </c>
      <c r="H8" s="11">
        <f ca="1">IFERROR(__xludf.DUMMYFUNCTION("GOOGLEFINANCE(C8,""Marketcap"")"),298818837626)</f>
        <v>298818837626</v>
      </c>
      <c r="I8" s="9"/>
      <c r="J8" s="14"/>
      <c r="K8" s="13">
        <f ca="1">IFERROR(__xludf.DUMMYFUNCTION("""COMPUTED_VALUE"""),43875.6458333333)</f>
        <v>43875.645833333299</v>
      </c>
      <c r="L8" s="14">
        <f ca="1">IFERROR(__xludf.DUMMYFUNCTION("""COMPUTED_VALUE"""),12102.35)</f>
        <v>12102.35</v>
      </c>
      <c r="M8" s="14">
        <f ca="1">IFERROR(__xludf.DUMMYFUNCTION("""COMPUTED_VALUE"""),12246.7)</f>
        <v>12246.7</v>
      </c>
      <c r="N8" s="14">
        <f ca="1">IFERROR(__xludf.DUMMYFUNCTION("""COMPUTED_VALUE"""),11990.75)</f>
        <v>11990.75</v>
      </c>
      <c r="O8" s="14">
        <f ca="1">IFERROR(__xludf.DUMMYFUNCTION("""COMPUTED_VALUE"""),12113.45)</f>
        <v>12113.45</v>
      </c>
      <c r="P8" s="14">
        <f ca="1">IFERROR(__xludf.DUMMYFUNCTION("""COMPUTED_VALUE"""),0)</f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3">
      <c r="A9" s="6" t="s">
        <v>31</v>
      </c>
      <c r="B9" s="6" t="s">
        <v>32</v>
      </c>
      <c r="C9" s="7" t="s">
        <v>33</v>
      </c>
      <c r="D9" s="7" t="s">
        <v>13</v>
      </c>
      <c r="E9" s="8">
        <f ca="1">IFERROR(__xludf.DUMMYFUNCTION("GOOGLEFINANCE(C9,""Price"")"),799)</f>
        <v>799</v>
      </c>
      <c r="F9" s="9">
        <f ca="1">IFERROR(__xludf.DUMMYFUNCTION("GOOGLEFINANCE(C9,""change"")"),-12.65)</f>
        <v>-12.65</v>
      </c>
      <c r="G9" s="10">
        <f ca="1">IFERROR(__xludf.DUMMYFUNCTION("GOOGLEFINANCE(C9,""Changepct"")/100"),-0.0156)</f>
        <v>-1.5599999999999999E-2</v>
      </c>
      <c r="H9" s="11">
        <f ca="1">IFERROR(__xludf.DUMMYFUNCTION("GOOGLEFINANCE(C9,""Marketcap"")"),74280737425)</f>
        <v>74280737425</v>
      </c>
      <c r="I9" s="9"/>
      <c r="J9" s="14"/>
      <c r="K9" s="13">
        <f ca="1">IFERROR(__xludf.DUMMYFUNCTION("""COMPUTED_VALUE"""),43881.6458333333)</f>
        <v>43881.645833333299</v>
      </c>
      <c r="L9" s="14">
        <f ca="1">IFERROR(__xludf.DUMMYFUNCTION("""COMPUTED_VALUE"""),12131.8)</f>
        <v>12131.8</v>
      </c>
      <c r="M9" s="14">
        <f ca="1">IFERROR(__xludf.DUMMYFUNCTION("""COMPUTED_VALUE"""),12159.6)</f>
        <v>12159.6</v>
      </c>
      <c r="N9" s="14">
        <f ca="1">IFERROR(__xludf.DUMMYFUNCTION("""COMPUTED_VALUE"""),11908.05)</f>
        <v>11908.05</v>
      </c>
      <c r="O9" s="14">
        <f ca="1">IFERROR(__xludf.DUMMYFUNCTION("""COMPUTED_VALUE"""),12080.85)</f>
        <v>12080.85</v>
      </c>
      <c r="P9" s="14">
        <f ca="1">IFERROR(__xludf.DUMMYFUNCTION("""COMPUTED_VALUE"""),0)</f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3">
      <c r="A10" s="6" t="s">
        <v>34</v>
      </c>
      <c r="B10" s="6" t="s">
        <v>35</v>
      </c>
      <c r="C10" s="7" t="s">
        <v>36</v>
      </c>
      <c r="D10" s="7" t="s">
        <v>22</v>
      </c>
      <c r="E10" s="8">
        <f ca="1">IFERROR(__xludf.DUMMYFUNCTION("GOOGLEFINANCE(C10,""Price"")"),1745.7)</f>
        <v>1745.7</v>
      </c>
      <c r="F10" s="9">
        <f ca="1">IFERROR(__xludf.DUMMYFUNCTION("GOOGLEFINANCE(C10,""change"")"),17.3)</f>
        <v>17.3</v>
      </c>
      <c r="G10" s="10">
        <f ca="1">IFERROR(__xludf.DUMMYFUNCTION("GOOGLEFINANCE(C10,""Changepct"")/100"),0.01)</f>
        <v>0.01</v>
      </c>
      <c r="H10" s="11">
        <f ca="1">IFERROR(__xludf.DUMMYFUNCTION("GOOGLEFINANCE(C10,""Marketcap"")"),303657692400)</f>
        <v>303657692400</v>
      </c>
      <c r="I10" s="9"/>
      <c r="J10" s="14"/>
      <c r="K10" s="13">
        <f ca="1">IFERROR(__xludf.DUMMYFUNCTION("""COMPUTED_VALUE"""),43889.6458333333)</f>
        <v>43889.645833333299</v>
      </c>
      <c r="L10" s="14">
        <f ca="1">IFERROR(__xludf.DUMMYFUNCTION("""COMPUTED_VALUE"""),12012.55)</f>
        <v>12012.55</v>
      </c>
      <c r="M10" s="14">
        <f ca="1">IFERROR(__xludf.DUMMYFUNCTION("""COMPUTED_VALUE"""),12012.55)</f>
        <v>12012.55</v>
      </c>
      <c r="N10" s="14">
        <f ca="1">IFERROR(__xludf.DUMMYFUNCTION("""COMPUTED_VALUE"""),11175.05)</f>
        <v>11175.05</v>
      </c>
      <c r="O10" s="14">
        <f ca="1">IFERROR(__xludf.DUMMYFUNCTION("""COMPUTED_VALUE"""),11201.75)</f>
        <v>11201.75</v>
      </c>
      <c r="P10" s="14">
        <f ca="1">IFERROR(__xludf.DUMMYFUNCTION("""COMPUTED_VALUE"""),0)</f>
        <v>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3">
      <c r="A11" s="6" t="s">
        <v>37</v>
      </c>
      <c r="B11" s="6" t="s">
        <v>29</v>
      </c>
      <c r="C11" s="7" t="s">
        <v>38</v>
      </c>
      <c r="D11" s="7" t="s">
        <v>13</v>
      </c>
      <c r="E11" s="8">
        <f ca="1">IFERROR(__xludf.DUMMYFUNCTION("GOOGLEFINANCE(C11,""Price"")"),2290)</f>
        <v>2290</v>
      </c>
      <c r="F11" s="9">
        <f ca="1">IFERROR(__xludf.DUMMYFUNCTION("GOOGLEFINANCE(C11,""change"")"),40.45)</f>
        <v>40.450000000000003</v>
      </c>
      <c r="G11" s="10">
        <f ca="1">IFERROR(__xludf.DUMMYFUNCTION("GOOGLEFINANCE(C11,""Changepct"")/100"),0.018)</f>
        <v>1.7999999999999999E-2</v>
      </c>
      <c r="H11" s="11">
        <f ca="1">IFERROR(__xludf.DUMMYFUNCTION("GOOGLEFINANCE(C11,""Marketcap"")"),179157836850)</f>
        <v>179157836850</v>
      </c>
      <c r="I11" s="9"/>
      <c r="J11" s="14"/>
      <c r="K11" s="13">
        <f ca="1">IFERROR(__xludf.DUMMYFUNCTION("""COMPUTED_VALUE"""),43896.6458333333)</f>
        <v>43896.645833333299</v>
      </c>
      <c r="L11" s="14">
        <f ca="1">IFERROR(__xludf.DUMMYFUNCTION("""COMPUTED_VALUE"""),11387.35)</f>
        <v>11387.35</v>
      </c>
      <c r="M11" s="14">
        <f ca="1">IFERROR(__xludf.DUMMYFUNCTION("""COMPUTED_VALUE"""),11433)</f>
        <v>11433</v>
      </c>
      <c r="N11" s="14">
        <f ca="1">IFERROR(__xludf.DUMMYFUNCTION("""COMPUTED_VALUE"""),10827.4)</f>
        <v>10827.4</v>
      </c>
      <c r="O11" s="14">
        <f ca="1">IFERROR(__xludf.DUMMYFUNCTION("""COMPUTED_VALUE"""),10989.45)</f>
        <v>10989.45</v>
      </c>
      <c r="P11" s="14">
        <f ca="1">IFERROR(__xludf.DUMMYFUNCTION("""COMPUTED_VALUE"""),0)</f>
        <v>0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3">
      <c r="A12" s="6" t="s">
        <v>39</v>
      </c>
      <c r="B12" s="6" t="s">
        <v>32</v>
      </c>
      <c r="C12" s="7" t="s">
        <v>40</v>
      </c>
      <c r="D12" s="7" t="s">
        <v>13</v>
      </c>
      <c r="E12" s="8">
        <f ca="1">IFERROR(__xludf.DUMMYFUNCTION("GOOGLEFINANCE(C12,""Price"")"),16200)</f>
        <v>16200</v>
      </c>
      <c r="F12" s="9">
        <f ca="1">IFERROR(__xludf.DUMMYFUNCTION("GOOGLEFINANCE(C12,""change"")"),-5)</f>
        <v>-5</v>
      </c>
      <c r="G12" s="10">
        <f ca="1">IFERROR(__xludf.DUMMYFUNCTION("GOOGLEFINANCE(C12,""Changepct"")/100"),-0.0003)</f>
        <v>-2.9999999999999997E-4</v>
      </c>
      <c r="H12" s="11">
        <f ca="1">IFERROR(__xludf.DUMMYFUNCTION("GOOGLEFINANCE(C12,""Marketcap"")"),344238498000)</f>
        <v>344238498000</v>
      </c>
      <c r="I12" s="9"/>
      <c r="J12" s="14"/>
      <c r="K12" s="13">
        <f ca="1">IFERROR(__xludf.DUMMYFUNCTION("""COMPUTED_VALUE"""),43903.6458333333)</f>
        <v>43903.645833333299</v>
      </c>
      <c r="L12" s="14">
        <f ca="1">IFERROR(__xludf.DUMMYFUNCTION("""COMPUTED_VALUE"""),10742.05)</f>
        <v>10742.05</v>
      </c>
      <c r="M12" s="14">
        <f ca="1">IFERROR(__xludf.DUMMYFUNCTION("""COMPUTED_VALUE"""),10751.55)</f>
        <v>10751.55</v>
      </c>
      <c r="N12" s="14">
        <f ca="1">IFERROR(__xludf.DUMMYFUNCTION("""COMPUTED_VALUE"""),8555.15)</f>
        <v>8555.15</v>
      </c>
      <c r="O12" s="14">
        <f ca="1">IFERROR(__xludf.DUMMYFUNCTION("""COMPUTED_VALUE"""),9955.2)</f>
        <v>9955.2000000000007</v>
      </c>
      <c r="P12" s="14">
        <f ca="1">IFERROR(__xludf.DUMMYFUNCTION("""COMPUTED_VALUE"""),0)</f>
        <v>0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3">
      <c r="A13" s="6" t="s">
        <v>41</v>
      </c>
      <c r="B13" s="6" t="s">
        <v>26</v>
      </c>
      <c r="C13" s="7" t="s">
        <v>42</v>
      </c>
      <c r="D13" s="7" t="s">
        <v>22</v>
      </c>
      <c r="E13" s="8">
        <f ca="1">IFERROR(__xludf.DUMMYFUNCTION("GOOGLEFINANCE(C13,""Price"")"),1286.35)</f>
        <v>1286.3499999999999</v>
      </c>
      <c r="F13" s="9">
        <f ca="1">IFERROR(__xludf.DUMMYFUNCTION("GOOGLEFINANCE(C13,""change"")"),-17.15)</f>
        <v>-17.149999999999999</v>
      </c>
      <c r="G13" s="10">
        <f ca="1">IFERROR(__xludf.DUMMYFUNCTION("GOOGLEFINANCE(C13,""Changepct"")/100"),-0.0132)</f>
        <v>-1.32E-2</v>
      </c>
      <c r="H13" s="11">
        <f ca="1">IFERROR(__xludf.DUMMYFUNCTION("GOOGLEFINANCE(C13,""Marketcap"")"),1413413065661)</f>
        <v>1413413065661</v>
      </c>
      <c r="I13" s="9"/>
      <c r="J13" s="14"/>
      <c r="K13" s="13">
        <f ca="1">IFERROR(__xludf.DUMMYFUNCTION("""COMPUTED_VALUE"""),43910.6458333333)</f>
        <v>43910.645833333299</v>
      </c>
      <c r="L13" s="14">
        <f ca="1">IFERROR(__xludf.DUMMYFUNCTION("""COMPUTED_VALUE"""),9587.8)</f>
        <v>9587.7999999999993</v>
      </c>
      <c r="M13" s="14">
        <f ca="1">IFERROR(__xludf.DUMMYFUNCTION("""COMPUTED_VALUE"""),9602.2)</f>
        <v>9602.2000000000007</v>
      </c>
      <c r="N13" s="14">
        <f ca="1">IFERROR(__xludf.DUMMYFUNCTION("""COMPUTED_VALUE"""),7832.55)</f>
        <v>7832.55</v>
      </c>
      <c r="O13" s="14">
        <f ca="1">IFERROR(__xludf.DUMMYFUNCTION("""COMPUTED_VALUE"""),8745.45)</f>
        <v>8745.4500000000007</v>
      </c>
      <c r="P13" s="14">
        <f ca="1">IFERROR(__xludf.DUMMYFUNCTION("""COMPUTED_VALUE"""),0)</f>
        <v>0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3">
      <c r="A14" s="6" t="s">
        <v>43</v>
      </c>
      <c r="B14" s="6" t="s">
        <v>44</v>
      </c>
      <c r="C14" s="7" t="s">
        <v>45</v>
      </c>
      <c r="D14" s="7" t="s">
        <v>13</v>
      </c>
      <c r="E14" s="8">
        <f ca="1">IFERROR(__xludf.DUMMYFUNCTION("GOOGLEFINANCE(C14,""Price"")"),1050.2)</f>
        <v>1050.2</v>
      </c>
      <c r="F14" s="9">
        <f ca="1">IFERROR(__xludf.DUMMYFUNCTION("GOOGLEFINANCE(C14,""change"")"),-27.75)</f>
        <v>-27.75</v>
      </c>
      <c r="G14" s="10">
        <f ca="1">IFERROR(__xludf.DUMMYFUNCTION("GOOGLEFINANCE(C14,""Changepct"")/100"),-0.0256999999999999)</f>
        <v>-2.56999999999999E-2</v>
      </c>
      <c r="H14" s="11">
        <f ca="1">IFERROR(__xludf.DUMMYFUNCTION("GOOGLEFINANCE(C14,""Marketcap"")"),1642671450000)</f>
        <v>1642671450000</v>
      </c>
      <c r="I14" s="9"/>
      <c r="J14" s="14"/>
      <c r="K14" s="13">
        <f ca="1">IFERROR(__xludf.DUMMYFUNCTION("""COMPUTED_VALUE"""),43917.6458333333)</f>
        <v>43917.645833333299</v>
      </c>
      <c r="L14" s="14">
        <f ca="1">IFERROR(__xludf.DUMMYFUNCTION("""COMPUTED_VALUE"""),7945.7)</f>
        <v>7945.7</v>
      </c>
      <c r="M14" s="14">
        <f ca="1">IFERROR(__xludf.DUMMYFUNCTION("""COMPUTED_VALUE"""),9038.9)</f>
        <v>9038.9</v>
      </c>
      <c r="N14" s="14">
        <f ca="1">IFERROR(__xludf.DUMMYFUNCTION("""COMPUTED_VALUE"""),7511.1)</f>
        <v>7511.1</v>
      </c>
      <c r="O14" s="14">
        <f ca="1">IFERROR(__xludf.DUMMYFUNCTION("""COMPUTED_VALUE"""),8660.25)</f>
        <v>8660.25</v>
      </c>
      <c r="P14" s="14">
        <f ca="1">IFERROR(__xludf.DUMMYFUNCTION("""COMPUTED_VALUE"""),0)</f>
        <v>0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3">
      <c r="A15" s="6" t="s">
        <v>46</v>
      </c>
      <c r="B15" s="6" t="s">
        <v>47</v>
      </c>
      <c r="C15" s="7" t="s">
        <v>48</v>
      </c>
      <c r="D15" s="7" t="s">
        <v>22</v>
      </c>
      <c r="E15" s="8">
        <f ca="1">IFERROR(__xludf.DUMMYFUNCTION("GOOGLEFINANCE(C15,""Price"")"),752.35)</f>
        <v>752.35</v>
      </c>
      <c r="F15" s="9">
        <f ca="1">IFERROR(__xludf.DUMMYFUNCTION("GOOGLEFINANCE(C15,""change"")"),-10.3)</f>
        <v>-10.3</v>
      </c>
      <c r="G15" s="10">
        <f ca="1">IFERROR(__xludf.DUMMYFUNCTION("GOOGLEFINANCE(C15,""Changepct"")/100"),-0.0135)</f>
        <v>-1.35E-2</v>
      </c>
      <c r="H15" s="11">
        <f ca="1">IFERROR(__xludf.DUMMYFUNCTION("GOOGLEFINANCE(C15,""Marketcap"")"),1534586163882)</f>
        <v>1534586163882</v>
      </c>
      <c r="I15" s="9"/>
      <c r="J15" s="14"/>
      <c r="K15" s="13">
        <f ca="1">IFERROR(__xludf.DUMMYFUNCTION("""COMPUTED_VALUE"""),43924.6458333333)</f>
        <v>43924.645833333299</v>
      </c>
      <c r="L15" s="14">
        <f ca="1">IFERROR(__xludf.DUMMYFUNCTION("""COMPUTED_VALUE"""),8385.95)</f>
        <v>8385.9500000000007</v>
      </c>
      <c r="M15" s="14">
        <f ca="1">IFERROR(__xludf.DUMMYFUNCTION("""COMPUTED_VALUE"""),8678.3)</f>
        <v>8678.2999999999993</v>
      </c>
      <c r="N15" s="14">
        <f ca="1">IFERROR(__xludf.DUMMYFUNCTION("""COMPUTED_VALUE"""),8055.8)</f>
        <v>8055.8</v>
      </c>
      <c r="O15" s="14">
        <f ca="1">IFERROR(__xludf.DUMMYFUNCTION("""COMPUTED_VALUE"""),8083.8)</f>
        <v>8083.8</v>
      </c>
      <c r="P15" s="14">
        <f ca="1">IFERROR(__xludf.DUMMYFUNCTION("""COMPUTED_VALUE"""),0)</f>
        <v>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3">
      <c r="A16" s="6" t="s">
        <v>49</v>
      </c>
      <c r="B16" s="6" t="s">
        <v>50</v>
      </c>
      <c r="C16" s="7" t="s">
        <v>51</v>
      </c>
      <c r="D16" s="7" t="s">
        <v>13</v>
      </c>
      <c r="E16" s="8">
        <f ca="1">IFERROR(__xludf.DUMMYFUNCTION("GOOGLEFINANCE(C16,""Price"")"),1312)</f>
        <v>1312</v>
      </c>
      <c r="F16" s="9">
        <f ca="1">IFERROR(__xludf.DUMMYFUNCTION("GOOGLEFINANCE(C16,""change"")"),-22.55)</f>
        <v>-22.55</v>
      </c>
      <c r="G16" s="10">
        <f ca="1">IFERROR(__xludf.DUMMYFUNCTION("GOOGLEFINANCE(C16,""Changepct"")/100"),-0.0169)</f>
        <v>-1.6899999999999998E-2</v>
      </c>
      <c r="H16" s="11">
        <f ca="1">IFERROR(__xludf.DUMMYFUNCTION("GOOGLEFINANCE(C16,""Marketcap"")"),1443233521616)</f>
        <v>1443233521616</v>
      </c>
      <c r="I16" s="9"/>
      <c r="J16" s="14"/>
      <c r="K16" s="13">
        <f ca="1">IFERROR(__xludf.DUMMYFUNCTION("""COMPUTED_VALUE"""),43930.6458333333)</f>
        <v>43930.645833333299</v>
      </c>
      <c r="L16" s="14">
        <f ca="1">IFERROR(__xludf.DUMMYFUNCTION("""COMPUTED_VALUE"""),8446.3)</f>
        <v>8446.2999999999993</v>
      </c>
      <c r="M16" s="14">
        <f ca="1">IFERROR(__xludf.DUMMYFUNCTION("""COMPUTED_VALUE"""),9131.7)</f>
        <v>9131.7000000000007</v>
      </c>
      <c r="N16" s="14">
        <f ca="1">IFERROR(__xludf.DUMMYFUNCTION("""COMPUTED_VALUE"""),8360.95)</f>
        <v>8360.9500000000007</v>
      </c>
      <c r="O16" s="14">
        <f ca="1">IFERROR(__xludf.DUMMYFUNCTION("""COMPUTED_VALUE"""),9111.9)</f>
        <v>9111.9</v>
      </c>
      <c r="P16" s="14">
        <f ca="1">IFERROR(__xludf.DUMMYFUNCTION("""COMPUTED_VALUE"""),0)</f>
        <v>0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3">
      <c r="A17" s="6" t="s">
        <v>52</v>
      </c>
      <c r="B17" s="6" t="s">
        <v>44</v>
      </c>
      <c r="C17" s="7" t="s">
        <v>53</v>
      </c>
      <c r="D17" s="7" t="s">
        <v>13</v>
      </c>
      <c r="E17" s="8">
        <f ca="1">IFERROR(__xludf.DUMMYFUNCTION("GOOGLEFINANCE(C17,""Price"")"),1199)</f>
        <v>1199</v>
      </c>
      <c r="F17" s="9">
        <f ca="1">IFERROR(__xludf.DUMMYFUNCTION("GOOGLEFINANCE(C17,""change"")"),1.7)</f>
        <v>1.7</v>
      </c>
      <c r="G17" s="10">
        <f ca="1">IFERROR(__xludf.DUMMYFUNCTION("GOOGLEFINANCE(C17,""Changepct"")/100"),0.0014)</f>
        <v>1.4E-3</v>
      </c>
      <c r="H17" s="11">
        <f ca="1">IFERROR(__xludf.DUMMYFUNCTION("GOOGLEFINANCE(C17,""Marketcap"")"),1324615648217)</f>
        <v>1324615648217</v>
      </c>
      <c r="I17" s="9"/>
      <c r="J17" s="14"/>
      <c r="K17" s="13">
        <f ca="1">IFERROR(__xludf.DUMMYFUNCTION("""COMPUTED_VALUE"""),43938.6458333333)</f>
        <v>43938.645833333299</v>
      </c>
      <c r="L17" s="14">
        <f ca="1">IFERROR(__xludf.DUMMYFUNCTION("""COMPUTED_VALUE"""),9103.95)</f>
        <v>9103.9500000000007</v>
      </c>
      <c r="M17" s="14">
        <f ca="1">IFERROR(__xludf.DUMMYFUNCTION("""COMPUTED_VALUE"""),9324)</f>
        <v>9324</v>
      </c>
      <c r="N17" s="14">
        <f ca="1">IFERROR(__xludf.DUMMYFUNCTION("""COMPUTED_VALUE"""),8821.9)</f>
        <v>8821.9</v>
      </c>
      <c r="O17" s="14">
        <f ca="1">IFERROR(__xludf.DUMMYFUNCTION("""COMPUTED_VALUE"""),9266.75)</f>
        <v>9266.75</v>
      </c>
      <c r="P17" s="14">
        <f ca="1">IFERROR(__xludf.DUMMYFUNCTION("""COMPUTED_VALUE"""),0)</f>
        <v>0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3">
      <c r="A18" s="6" t="s">
        <v>54</v>
      </c>
      <c r="B18" s="6" t="s">
        <v>29</v>
      </c>
      <c r="C18" s="7" t="s">
        <v>55</v>
      </c>
      <c r="D18" s="7" t="s">
        <v>13</v>
      </c>
      <c r="E18" s="8">
        <f ca="1">IFERROR(__xludf.DUMMYFUNCTION("GOOGLEFINANCE(C18,""Price"")"),119.7)</f>
        <v>119.7</v>
      </c>
      <c r="F18" s="9">
        <f ca="1">IFERROR(__xludf.DUMMYFUNCTION("GOOGLEFINANCE(C18,""change"")"),-0.05)</f>
        <v>-0.05</v>
      </c>
      <c r="G18" s="10">
        <f ca="1">IFERROR(__xludf.DUMMYFUNCTION("GOOGLEFINANCE(C18,""Changepct"")/100"),-0.0004)</f>
        <v>-4.0000000000000002E-4</v>
      </c>
      <c r="H18" s="11">
        <f ca="1">IFERROR(__xludf.DUMMYFUNCTION("GOOGLEFINANCE(C18,""Marketcap"")"),288143001466)</f>
        <v>288143001466</v>
      </c>
      <c r="I18" s="9"/>
      <c r="J18" s="14"/>
      <c r="K18" s="13">
        <f ca="1">IFERROR(__xludf.DUMMYFUNCTION("""COMPUTED_VALUE"""),43945.6458333333)</f>
        <v>43945.645833333299</v>
      </c>
      <c r="L18" s="14">
        <f ca="1">IFERROR(__xludf.DUMMYFUNCTION("""COMPUTED_VALUE"""),9390.2)</f>
        <v>9390.2000000000007</v>
      </c>
      <c r="M18" s="14">
        <f ca="1">IFERROR(__xludf.DUMMYFUNCTION("""COMPUTED_VALUE"""),9390.85)</f>
        <v>9390.85</v>
      </c>
      <c r="N18" s="14">
        <f ca="1">IFERROR(__xludf.DUMMYFUNCTION("""COMPUTED_VALUE"""),8909.4)</f>
        <v>8909.4</v>
      </c>
      <c r="O18" s="14">
        <f ca="1">IFERROR(__xludf.DUMMYFUNCTION("""COMPUTED_VALUE"""),9154.4)</f>
        <v>9154.4</v>
      </c>
      <c r="P18" s="14">
        <f ca="1">IFERROR(__xludf.DUMMYFUNCTION("""COMPUTED_VALUE"""),0)</f>
        <v>0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3">
      <c r="A19" s="6" t="s">
        <v>56</v>
      </c>
      <c r="B19" s="6" t="s">
        <v>57</v>
      </c>
      <c r="C19" s="7" t="s">
        <v>58</v>
      </c>
      <c r="D19" s="7" t="s">
        <v>13</v>
      </c>
      <c r="E19" s="8">
        <f ca="1">IFERROR(__xludf.DUMMYFUNCTION("GOOGLEFINANCE(C19,""Price"")"),186)</f>
        <v>186</v>
      </c>
      <c r="F19" s="9">
        <f ca="1">IFERROR(__xludf.DUMMYFUNCTION("GOOGLEFINANCE(C19,""change"")"),5.15)</f>
        <v>5.15</v>
      </c>
      <c r="G19" s="10">
        <f ca="1">IFERROR(__xludf.DUMMYFUNCTION("GOOGLEFINANCE(C19,""Changepct"")/100"),0.0285)</f>
        <v>2.8500000000000001E-2</v>
      </c>
      <c r="H19" s="11">
        <f ca="1">IFERROR(__xludf.DUMMYFUNCTION("GOOGLEFINANCE(C19,""Marketcap"")"),170165355000)</f>
        <v>170165355000</v>
      </c>
      <c r="I19" s="9"/>
      <c r="J19" s="14"/>
      <c r="K19" s="13">
        <f ca="1">IFERROR(__xludf.DUMMYFUNCTION("""COMPUTED_VALUE"""),43951.6458333333)</f>
        <v>43951.645833333299</v>
      </c>
      <c r="L19" s="14">
        <f ca="1">IFERROR(__xludf.DUMMYFUNCTION("""COMPUTED_VALUE"""),9259.7)</f>
        <v>9259.7000000000007</v>
      </c>
      <c r="M19" s="14">
        <f ca="1">IFERROR(__xludf.DUMMYFUNCTION("""COMPUTED_VALUE"""),9889.05)</f>
        <v>9889.0499999999993</v>
      </c>
      <c r="N19" s="14">
        <f ca="1">IFERROR(__xludf.DUMMYFUNCTION("""COMPUTED_VALUE"""),9250.35)</f>
        <v>9250.35</v>
      </c>
      <c r="O19" s="14">
        <f ca="1">IFERROR(__xludf.DUMMYFUNCTION("""COMPUTED_VALUE"""),9859.9)</f>
        <v>9859.9</v>
      </c>
      <c r="P19" s="14">
        <f ca="1">IFERROR(__xludf.DUMMYFUNCTION("""COMPUTED_VALUE"""),0)</f>
        <v>0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3">
      <c r="A20" s="6" t="s">
        <v>59</v>
      </c>
      <c r="B20" s="6" t="s">
        <v>11</v>
      </c>
      <c r="C20" s="7" t="s">
        <v>60</v>
      </c>
      <c r="D20" s="7" t="s">
        <v>13</v>
      </c>
      <c r="E20" s="8">
        <f ca="1">IFERROR(__xludf.DUMMYFUNCTION("GOOGLEFINANCE(C20,""Price"")"),463.9)</f>
        <v>463.9</v>
      </c>
      <c r="F20" s="9">
        <f ca="1">IFERROR(__xludf.DUMMYFUNCTION("GOOGLEFINANCE(C20,""change"")"),6.7)</f>
        <v>6.7</v>
      </c>
      <c r="G20" s="10">
        <f ca="1">IFERROR(__xludf.DUMMYFUNCTION("GOOGLEFINANCE(C20,""Changepct"")/100"),0.0147)</f>
        <v>1.47E-2</v>
      </c>
      <c r="H20" s="11">
        <f ca="1">IFERROR(__xludf.DUMMYFUNCTION("GOOGLEFINANCE(C20,""Marketcap"")"),51657784364)</f>
        <v>51657784364</v>
      </c>
      <c r="I20" s="9"/>
      <c r="J20" s="14"/>
      <c r="K20" s="13">
        <f ca="1">IFERROR(__xludf.DUMMYFUNCTION("""COMPUTED_VALUE"""),43959.6458333333)</f>
        <v>43959.645833333299</v>
      </c>
      <c r="L20" s="14">
        <f ca="1">IFERROR(__xludf.DUMMYFUNCTION("""COMPUTED_VALUE"""),9533.5)</f>
        <v>9533.5</v>
      </c>
      <c r="M20" s="14">
        <f ca="1">IFERROR(__xludf.DUMMYFUNCTION("""COMPUTED_VALUE"""),9533.5)</f>
        <v>9533.5</v>
      </c>
      <c r="N20" s="14">
        <f ca="1">IFERROR(__xludf.DUMMYFUNCTION("""COMPUTED_VALUE"""),9116.5)</f>
        <v>9116.5</v>
      </c>
      <c r="O20" s="14">
        <f ca="1">IFERROR(__xludf.DUMMYFUNCTION("""COMPUTED_VALUE"""),9251.5)</f>
        <v>9251.5</v>
      </c>
      <c r="P20" s="14">
        <f ca="1">IFERROR(__xludf.DUMMYFUNCTION("""COMPUTED_VALUE"""),0)</f>
        <v>0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3">
      <c r="A21" s="6" t="s">
        <v>61</v>
      </c>
      <c r="B21" s="6" t="s">
        <v>47</v>
      </c>
      <c r="C21" s="7" t="s">
        <v>62</v>
      </c>
      <c r="D21" s="7" t="s">
        <v>13</v>
      </c>
      <c r="E21" s="8">
        <f ca="1">IFERROR(__xludf.DUMMYFUNCTION("GOOGLEFINANCE(C21,""Price"")"),335)</f>
        <v>335</v>
      </c>
      <c r="F21" s="9">
        <f ca="1">IFERROR(__xludf.DUMMYFUNCTION("GOOGLEFINANCE(C21,""change"")"),-2.75)</f>
        <v>-2.75</v>
      </c>
      <c r="G21" s="10">
        <f ca="1">IFERROR(__xludf.DUMMYFUNCTION("GOOGLEFINANCE(C21,""Changepct"")/100"),-0.0081)</f>
        <v>-8.0999999999999996E-3</v>
      </c>
      <c r="H21" s="11">
        <f ca="1">IFERROR(__xludf.DUMMYFUNCTION("GOOGLEFINANCE(C21,""Marketcap"")"),117671992183)</f>
        <v>117671992183</v>
      </c>
      <c r="I21" s="9"/>
      <c r="J21" s="14"/>
      <c r="K21" s="13">
        <f ca="1">IFERROR(__xludf.DUMMYFUNCTION("""COMPUTED_VALUE"""),43966.6458333333)</f>
        <v>43966.645833333299</v>
      </c>
      <c r="L21" s="14">
        <f ca="1">IFERROR(__xludf.DUMMYFUNCTION("""COMPUTED_VALUE"""),9348.15)</f>
        <v>9348.15</v>
      </c>
      <c r="M21" s="14">
        <f ca="1">IFERROR(__xludf.DUMMYFUNCTION("""COMPUTED_VALUE"""),9584.5)</f>
        <v>9584.5</v>
      </c>
      <c r="N21" s="14">
        <f ca="1">IFERROR(__xludf.DUMMYFUNCTION("""COMPUTED_VALUE"""),9043.95)</f>
        <v>9043.9500000000007</v>
      </c>
      <c r="O21" s="14">
        <f ca="1">IFERROR(__xludf.DUMMYFUNCTION("""COMPUTED_VALUE"""),9136.85)</f>
        <v>9136.85</v>
      </c>
      <c r="P21" s="14">
        <f ca="1">IFERROR(__xludf.DUMMYFUNCTION("""COMPUTED_VALUE"""),0)</f>
        <v>0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3">
      <c r="A22" s="6" t="s">
        <v>63</v>
      </c>
      <c r="B22" s="6" t="s">
        <v>64</v>
      </c>
      <c r="C22" s="7" t="s">
        <v>65</v>
      </c>
      <c r="D22" s="7" t="s">
        <v>13</v>
      </c>
      <c r="E22" s="8">
        <f ca="1">IFERROR(__xludf.DUMMYFUNCTION("GOOGLEFINANCE(C22,""Price"")"),5203)</f>
        <v>5203</v>
      </c>
      <c r="F22" s="9">
        <f ca="1">IFERROR(__xludf.DUMMYFUNCTION("GOOGLEFINANCE(C22,""change"")"),-80.9)</f>
        <v>-80.900000000000006</v>
      </c>
      <c r="G22" s="10">
        <f ca="1">IFERROR(__xludf.DUMMYFUNCTION("GOOGLEFINANCE(C22,""Changepct"")/100"),-0.0153)</f>
        <v>-1.5299999999999999E-2</v>
      </c>
      <c r="H22" s="11">
        <f ca="1">IFERROR(__xludf.DUMMYFUNCTION("GOOGLEFINANCE(C22,""Marketcap"")"),138734700000)</f>
        <v>138734700000</v>
      </c>
      <c r="I22" s="9"/>
      <c r="J22" s="14"/>
      <c r="K22" s="13">
        <f ca="1">IFERROR(__xludf.DUMMYFUNCTION("""COMPUTED_VALUE"""),43973.6458333333)</f>
        <v>43973.645833333299</v>
      </c>
      <c r="L22" s="14">
        <f ca="1">IFERROR(__xludf.DUMMYFUNCTION("""COMPUTED_VALUE"""),9158.3)</f>
        <v>9158.2999999999993</v>
      </c>
      <c r="M22" s="14">
        <f ca="1">IFERROR(__xludf.DUMMYFUNCTION("""COMPUTED_VALUE"""),9178.55)</f>
        <v>9178.5499999999993</v>
      </c>
      <c r="N22" s="14">
        <f ca="1">IFERROR(__xludf.DUMMYFUNCTION("""COMPUTED_VALUE"""),8806.75)</f>
        <v>8806.75</v>
      </c>
      <c r="O22" s="14">
        <f ca="1">IFERROR(__xludf.DUMMYFUNCTION("""COMPUTED_VALUE"""),9039.25)</f>
        <v>9039.25</v>
      </c>
      <c r="P22" s="14">
        <f ca="1">IFERROR(__xludf.DUMMYFUNCTION("""COMPUTED_VALUE"""),0)</f>
        <v>0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3">
      <c r="A23" s="6" t="s">
        <v>66</v>
      </c>
      <c r="B23" s="6" t="s">
        <v>32</v>
      </c>
      <c r="C23" s="7" t="s">
        <v>67</v>
      </c>
      <c r="D23" s="7" t="s">
        <v>13</v>
      </c>
      <c r="E23" s="8">
        <f ca="1">IFERROR(__xludf.DUMMYFUNCTION("GOOGLEFINANCE(C23,""Price"")"),2005)</f>
        <v>2005</v>
      </c>
      <c r="F23" s="9">
        <f ca="1">IFERROR(__xludf.DUMMYFUNCTION("GOOGLEFINANCE(C23,""change"")"),62.05)</f>
        <v>62.05</v>
      </c>
      <c r="G23" s="10">
        <f ca="1">IFERROR(__xludf.DUMMYFUNCTION("GOOGLEFINANCE(C23,""Changepct"")/100"),0.0319)</f>
        <v>3.1899999999999998E-2</v>
      </c>
      <c r="H23" s="11">
        <f ca="1">IFERROR(__xludf.DUMMYFUNCTION("GOOGLEFINANCE(C23,""Marketcap"")"),173496178800)</f>
        <v>173496178800</v>
      </c>
      <c r="I23" s="9"/>
      <c r="J23" s="14"/>
      <c r="K23" s="13">
        <f ca="1">IFERROR(__xludf.DUMMYFUNCTION("""COMPUTED_VALUE"""),43980.6458333333)</f>
        <v>43980.645833333299</v>
      </c>
      <c r="L23" s="14">
        <f ca="1">IFERROR(__xludf.DUMMYFUNCTION("""COMPUTED_VALUE"""),9099.75)</f>
        <v>9099.75</v>
      </c>
      <c r="M23" s="14">
        <f ca="1">IFERROR(__xludf.DUMMYFUNCTION("""COMPUTED_VALUE"""),9598.85)</f>
        <v>9598.85</v>
      </c>
      <c r="N23" s="14">
        <f ca="1">IFERROR(__xludf.DUMMYFUNCTION("""COMPUTED_VALUE"""),8996.65)</f>
        <v>8996.65</v>
      </c>
      <c r="O23" s="14">
        <f ca="1">IFERROR(__xludf.DUMMYFUNCTION("""COMPUTED_VALUE"""),9580.3)</f>
        <v>9580.2999999999993</v>
      </c>
      <c r="P23" s="14">
        <f ca="1">IFERROR(__xludf.DUMMYFUNCTION("""COMPUTED_VALUE"""),0)</f>
        <v>0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3">
      <c r="A24" s="6" t="s">
        <v>68</v>
      </c>
      <c r="B24" s="6" t="s">
        <v>11</v>
      </c>
      <c r="C24" s="7" t="s">
        <v>69</v>
      </c>
      <c r="D24" s="7" t="s">
        <v>13</v>
      </c>
      <c r="E24" s="8">
        <f ca="1">IFERROR(__xludf.DUMMYFUNCTION("GOOGLEFINANCE(C24,""Price"")"),2180.5)</f>
        <v>2180.5</v>
      </c>
      <c r="F24" s="9">
        <f ca="1">IFERROR(__xludf.DUMMYFUNCTION("GOOGLEFINANCE(C24,""change"")"),-25.7)</f>
        <v>-25.7</v>
      </c>
      <c r="G24" s="10">
        <f ca="1">IFERROR(__xludf.DUMMYFUNCTION("GOOGLEFINANCE(C24,""Changepct"")/100"),-0.0116)</f>
        <v>-1.1599999999999999E-2</v>
      </c>
      <c r="H24" s="11">
        <f ca="1">IFERROR(__xludf.DUMMYFUNCTION("GOOGLEFINANCE(C24,""Marketcap"")"),99300602345)</f>
        <v>99300602345</v>
      </c>
      <c r="I24" s="9"/>
      <c r="J24" s="14"/>
      <c r="K24" s="13">
        <f ca="1">IFERROR(__xludf.DUMMYFUNCTION("""COMPUTED_VALUE"""),43987.6458333333)</f>
        <v>43987.645833333299</v>
      </c>
      <c r="L24" s="14">
        <f ca="1">IFERROR(__xludf.DUMMYFUNCTION("""COMPUTED_VALUE"""),9726.85)</f>
        <v>9726.85</v>
      </c>
      <c r="M24" s="14">
        <f ca="1">IFERROR(__xludf.DUMMYFUNCTION("""COMPUTED_VALUE"""),10177.8)</f>
        <v>10177.799999999999</v>
      </c>
      <c r="N24" s="14">
        <f ca="1">IFERROR(__xludf.DUMMYFUNCTION("""COMPUTED_VALUE"""),9706.95)</f>
        <v>9706.9500000000007</v>
      </c>
      <c r="O24" s="14">
        <f ca="1">IFERROR(__xludf.DUMMYFUNCTION("""COMPUTED_VALUE"""),10142.15)</f>
        <v>10142.15</v>
      </c>
      <c r="P24" s="14">
        <f ca="1">IFERROR(__xludf.DUMMYFUNCTION("""COMPUTED_VALUE"""),0)</f>
        <v>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3">
      <c r="A25" s="6" t="s">
        <v>70</v>
      </c>
      <c r="B25" s="6" t="s">
        <v>32</v>
      </c>
      <c r="C25" s="7" t="s">
        <v>71</v>
      </c>
      <c r="D25" s="7" t="s">
        <v>13</v>
      </c>
      <c r="E25" s="8">
        <f ca="1">IFERROR(__xludf.DUMMYFUNCTION("GOOGLEFINANCE(C25,""Price"")"),125.85)</f>
        <v>125.85</v>
      </c>
      <c r="F25" s="9">
        <f ca="1">IFERROR(__xludf.DUMMYFUNCTION("GOOGLEFINANCE(C25,""change"")"),-7)</f>
        <v>-7</v>
      </c>
      <c r="G25" s="10">
        <f ca="1">IFERROR(__xludf.DUMMYFUNCTION("GOOGLEFINANCE(C25,""Changepct"")/100"),-0.0527)</f>
        <v>-5.2699999999999997E-2</v>
      </c>
      <c r="H25" s="11">
        <f ca="1">IFERROR(__xludf.DUMMYFUNCTION("GOOGLEFINANCE(C25,""Marketcap"")"),32330163600)</f>
        <v>32330163600</v>
      </c>
      <c r="I25" s="9"/>
      <c r="J25" s="14"/>
      <c r="K25" s="13">
        <f ca="1">IFERROR(__xludf.DUMMYFUNCTION("""COMPUTED_VALUE"""),43994.6458333333)</f>
        <v>43994.645833333299</v>
      </c>
      <c r="L25" s="14">
        <f ca="1">IFERROR(__xludf.DUMMYFUNCTION("""COMPUTED_VALUE"""),10326.75)</f>
        <v>10326.75</v>
      </c>
      <c r="M25" s="14">
        <f ca="1">IFERROR(__xludf.DUMMYFUNCTION("""COMPUTED_VALUE"""),10328.5)</f>
        <v>10328.5</v>
      </c>
      <c r="N25" s="14">
        <f ca="1">IFERROR(__xludf.DUMMYFUNCTION("""COMPUTED_VALUE"""),9544.35)</f>
        <v>9544.35</v>
      </c>
      <c r="O25" s="14">
        <f ca="1">IFERROR(__xludf.DUMMYFUNCTION("""COMPUTED_VALUE"""),9972.9)</f>
        <v>9972.9</v>
      </c>
      <c r="P25" s="14">
        <f ca="1">IFERROR(__xludf.DUMMYFUNCTION("""COMPUTED_VALUE"""),0)</f>
        <v>0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3">
      <c r="A26" s="6" t="s">
        <v>72</v>
      </c>
      <c r="B26" s="6" t="s">
        <v>32</v>
      </c>
      <c r="C26" s="7" t="s">
        <v>73</v>
      </c>
      <c r="D26" s="7" t="s">
        <v>22</v>
      </c>
      <c r="E26" s="8">
        <f ca="1">IFERROR(__xludf.DUMMYFUNCTION("GOOGLEFINANCE(C26,""Price"")"),952.7)</f>
        <v>952.7</v>
      </c>
      <c r="F26" s="9">
        <f ca="1">IFERROR(__xludf.DUMMYFUNCTION("GOOGLEFINANCE(C26,""change"")"),0.05)</f>
        <v>0.05</v>
      </c>
      <c r="G26" s="10">
        <f ca="1">IFERROR(__xludf.DUMMYFUNCTION("GOOGLEFINANCE(C26,""Changepct"")/100"),0.0001)</f>
        <v>1E-4</v>
      </c>
      <c r="H26" s="11">
        <f ca="1">IFERROR(__xludf.DUMMYFUNCTION("GOOGLEFINANCE(C26,""Marketcap"")"),186892268048)</f>
        <v>186892268048</v>
      </c>
      <c r="I26" s="9"/>
      <c r="J26" s="14"/>
      <c r="K26" s="13">
        <f ca="1">IFERROR(__xludf.DUMMYFUNCTION("""COMPUTED_VALUE"""),44001.6458333333)</f>
        <v>44001.645833333299</v>
      </c>
      <c r="L26" s="14">
        <f ca="1">IFERROR(__xludf.DUMMYFUNCTION("""COMPUTED_VALUE"""),9919.35)</f>
        <v>9919.35</v>
      </c>
      <c r="M26" s="14">
        <f ca="1">IFERROR(__xludf.DUMMYFUNCTION("""COMPUTED_VALUE"""),10272.4)</f>
        <v>10272.4</v>
      </c>
      <c r="N26" s="14">
        <f ca="1">IFERROR(__xludf.DUMMYFUNCTION("""COMPUTED_VALUE"""),9726.35)</f>
        <v>9726.35</v>
      </c>
      <c r="O26" s="14">
        <f ca="1">IFERROR(__xludf.DUMMYFUNCTION("""COMPUTED_VALUE"""),10244.4)</f>
        <v>10244.4</v>
      </c>
      <c r="P26" s="14">
        <f ca="1">IFERROR(__xludf.DUMMYFUNCTION("""COMPUTED_VALUE"""),0)</f>
        <v>0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3">
      <c r="A27" s="6" t="s">
        <v>74</v>
      </c>
      <c r="B27" s="6" t="s">
        <v>32</v>
      </c>
      <c r="C27" s="7" t="s">
        <v>75</v>
      </c>
      <c r="D27" s="7" t="s">
        <v>22</v>
      </c>
      <c r="E27" s="8">
        <f ca="1">IFERROR(__xludf.DUMMYFUNCTION("GOOGLEFINANCE(C27,""Price"")"),3010)</f>
        <v>3010</v>
      </c>
      <c r="F27" s="9">
        <f ca="1">IFERROR(__xludf.DUMMYFUNCTION("GOOGLEFINANCE(C27,""change"")"),-29.55)</f>
        <v>-29.55</v>
      </c>
      <c r="G27" s="10">
        <f ca="1">IFERROR(__xludf.DUMMYFUNCTION("GOOGLEFINANCE(C27,""Changepct"")/100"),-0.0097)</f>
        <v>-9.7000000000000003E-3</v>
      </c>
      <c r="H27" s="11">
        <f ca="1">IFERROR(__xludf.DUMMYFUNCTION("GOOGLEFINANCE(C27,""Marketcap"")"),359905946400)</f>
        <v>359905946400</v>
      </c>
      <c r="I27" s="9"/>
      <c r="J27" s="14"/>
      <c r="K27" s="13">
        <f ca="1">IFERROR(__xludf.DUMMYFUNCTION("""COMPUTED_VALUE"""),44008.6458333333)</f>
        <v>44008.645833333299</v>
      </c>
      <c r="L27" s="14">
        <f ca="1">IFERROR(__xludf.DUMMYFUNCTION("""COMPUTED_VALUE"""),10318.75)</f>
        <v>10318.75</v>
      </c>
      <c r="M27" s="14">
        <f ca="1">IFERROR(__xludf.DUMMYFUNCTION("""COMPUTED_VALUE"""),10553.15)</f>
        <v>10553.15</v>
      </c>
      <c r="N27" s="14">
        <f ca="1">IFERROR(__xludf.DUMMYFUNCTION("""COMPUTED_VALUE"""),10194.5)</f>
        <v>10194.5</v>
      </c>
      <c r="O27" s="14">
        <f ca="1">IFERROR(__xludf.DUMMYFUNCTION("""COMPUTED_VALUE"""),10383)</f>
        <v>10383</v>
      </c>
      <c r="P27" s="14">
        <f ca="1">IFERROR(__xludf.DUMMYFUNCTION("""COMPUTED_VALUE"""),0)</f>
        <v>0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3">
      <c r="A28" s="6" t="s">
        <v>76</v>
      </c>
      <c r="B28" s="6" t="s">
        <v>35</v>
      </c>
      <c r="C28" s="7" t="s">
        <v>77</v>
      </c>
      <c r="D28" s="7" t="s">
        <v>13</v>
      </c>
      <c r="E28" s="8">
        <f ca="1">IFERROR(__xludf.DUMMYFUNCTION("GOOGLEFINANCE(C28,""Price"")"),3910)</f>
        <v>3910</v>
      </c>
      <c r="F28" s="9">
        <f ca="1">IFERROR(__xludf.DUMMYFUNCTION("GOOGLEFINANCE(C28,""change"")"),265.7)</f>
        <v>265.7</v>
      </c>
      <c r="G28" s="10">
        <f ca="1">IFERROR(__xludf.DUMMYFUNCTION("GOOGLEFINANCE(C28,""Changepct"")/100"),0.0729)</f>
        <v>7.2900000000000006E-2</v>
      </c>
      <c r="H28" s="11">
        <f ca="1">IFERROR(__xludf.DUMMYFUNCTION("GOOGLEFINANCE(C28,""Marketcap"")"),199581888405)</f>
        <v>199581888405</v>
      </c>
      <c r="I28" s="9"/>
      <c r="J28" s="14"/>
      <c r="K28" s="13">
        <f ca="1">IFERROR(__xludf.DUMMYFUNCTION("""COMPUTED_VALUE"""),44015.6458333333)</f>
        <v>44015.645833333299</v>
      </c>
      <c r="L28" s="14">
        <f ca="1">IFERROR(__xludf.DUMMYFUNCTION("""COMPUTED_VALUE"""),10311.95)</f>
        <v>10311.950000000001</v>
      </c>
      <c r="M28" s="14">
        <f ca="1">IFERROR(__xludf.DUMMYFUNCTION("""COMPUTED_VALUE"""),10631.3)</f>
        <v>10631.3</v>
      </c>
      <c r="N28" s="14">
        <f ca="1">IFERROR(__xludf.DUMMYFUNCTION("""COMPUTED_VALUE"""),10223.6)</f>
        <v>10223.6</v>
      </c>
      <c r="O28" s="14">
        <f ca="1">IFERROR(__xludf.DUMMYFUNCTION("""COMPUTED_VALUE"""),10607.35)</f>
        <v>10607.35</v>
      </c>
      <c r="P28" s="14">
        <f ca="1">IFERROR(__xludf.DUMMYFUNCTION("""COMPUTED_VALUE"""),0)</f>
        <v>0</v>
      </c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3">
      <c r="A29" s="6" t="s">
        <v>78</v>
      </c>
      <c r="B29" s="6" t="s">
        <v>79</v>
      </c>
      <c r="C29" s="7" t="s">
        <v>80</v>
      </c>
      <c r="D29" s="7" t="s">
        <v>13</v>
      </c>
      <c r="E29" s="8">
        <f ca="1">IFERROR(__xludf.DUMMYFUNCTION("GOOGLEFINANCE(C29,""Price"")"),20.4)</f>
        <v>20.399999999999999</v>
      </c>
      <c r="F29" s="9">
        <f ca="1">IFERROR(__xludf.DUMMYFUNCTION("GOOGLEFINANCE(C29,""change"")"),1.15)</f>
        <v>1.1499999999999999</v>
      </c>
      <c r="G29" s="10">
        <f ca="1">IFERROR(__xludf.DUMMYFUNCTION("GOOGLEFINANCE(C29,""Changepct"")/100"),0.0596999999999999)</f>
        <v>5.9699999999999899E-2</v>
      </c>
      <c r="H29" s="11">
        <f ca="1">IFERROR(__xludf.DUMMYFUNCTION("GOOGLEFINANCE(C29,""Marketcap"")"),100297851788)</f>
        <v>100297851788</v>
      </c>
      <c r="I29" s="9"/>
      <c r="J29" s="14"/>
      <c r="K29" s="13">
        <f ca="1">IFERROR(__xludf.DUMMYFUNCTION("""COMPUTED_VALUE"""),44022.6458333333)</f>
        <v>44022.645833333299</v>
      </c>
      <c r="L29" s="14">
        <f ca="1">IFERROR(__xludf.DUMMYFUNCTION("""COMPUTED_VALUE"""),10723.85)</f>
        <v>10723.85</v>
      </c>
      <c r="M29" s="14">
        <f ca="1">IFERROR(__xludf.DUMMYFUNCTION("""COMPUTED_VALUE"""),10847.85)</f>
        <v>10847.85</v>
      </c>
      <c r="N29" s="14">
        <f ca="1">IFERROR(__xludf.DUMMYFUNCTION("""COMPUTED_VALUE"""),10676.55)</f>
        <v>10676.55</v>
      </c>
      <c r="O29" s="14">
        <f ca="1">IFERROR(__xludf.DUMMYFUNCTION("""COMPUTED_VALUE"""),10768.05)</f>
        <v>10768.05</v>
      </c>
      <c r="P29" s="14">
        <f ca="1">IFERROR(__xludf.DUMMYFUNCTION("""COMPUTED_VALUE"""),0)</f>
        <v>0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4" x14ac:dyDescent="0.3">
      <c r="A30" s="6" t="s">
        <v>81</v>
      </c>
      <c r="B30" s="6" t="s">
        <v>82</v>
      </c>
      <c r="C30" s="7" t="s">
        <v>83</v>
      </c>
      <c r="D30" s="7" t="s">
        <v>22</v>
      </c>
      <c r="E30" s="8">
        <f ca="1">IFERROR(__xludf.DUMMYFUNCTION("GOOGLEFINANCE(C30,""Price"")"),803.7)</f>
        <v>803.7</v>
      </c>
      <c r="F30" s="9">
        <f ca="1">IFERROR(__xludf.DUMMYFUNCTION("GOOGLEFINANCE(C30,""change"")"),17.1)</f>
        <v>17.100000000000001</v>
      </c>
      <c r="G30" s="10">
        <f ca="1">IFERROR(__xludf.DUMMYFUNCTION("GOOGLEFINANCE(C30,""Changepct"")/100"),0.0217)</f>
        <v>2.1700000000000001E-2</v>
      </c>
      <c r="H30" s="11">
        <f ca="1">IFERROR(__xludf.DUMMYFUNCTION("GOOGLEFINANCE(C30,""Marketcap"")"),137153469550)</f>
        <v>137153469550</v>
      </c>
      <c r="I30" s="9"/>
      <c r="J30" s="14"/>
      <c r="K30" s="13">
        <f ca="1">IFERROR(__xludf.DUMMYFUNCTION("""COMPUTED_VALUE"""),44029.6458333333)</f>
        <v>44029.645833333299</v>
      </c>
      <c r="L30" s="14">
        <f ca="1">IFERROR(__xludf.DUMMYFUNCTION("""COMPUTED_VALUE"""),10851.85)</f>
        <v>10851.85</v>
      </c>
      <c r="M30" s="14">
        <f ca="1">IFERROR(__xludf.DUMMYFUNCTION("""COMPUTED_VALUE"""),10933.45)</f>
        <v>10933.45</v>
      </c>
      <c r="N30" s="14">
        <f ca="1">IFERROR(__xludf.DUMMYFUNCTION("""COMPUTED_VALUE"""),10562.9)</f>
        <v>10562.9</v>
      </c>
      <c r="O30" s="14">
        <f ca="1">IFERROR(__xludf.DUMMYFUNCTION("""COMPUTED_VALUE"""),10901.7)</f>
        <v>10901.7</v>
      </c>
      <c r="P30" s="14">
        <f ca="1">IFERROR(__xludf.DUMMYFUNCTION("""COMPUTED_VALUE"""),0)</f>
        <v>0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4" x14ac:dyDescent="0.3">
      <c r="A31" s="6" t="s">
        <v>84</v>
      </c>
      <c r="B31" s="6" t="s">
        <v>11</v>
      </c>
      <c r="C31" s="7" t="s">
        <v>85</v>
      </c>
      <c r="D31" s="7" t="s">
        <v>13</v>
      </c>
      <c r="E31" s="8">
        <f ca="1">IFERROR(__xludf.DUMMYFUNCTION("GOOGLEFINANCE(C31,""Price"")"),2962)</f>
        <v>2962</v>
      </c>
      <c r="F31" s="9">
        <f ca="1">IFERROR(__xludf.DUMMYFUNCTION("GOOGLEFINANCE(C31,""change"")"),-8.7)</f>
        <v>-8.6999999999999993</v>
      </c>
      <c r="G31" s="10">
        <f ca="1">IFERROR(__xludf.DUMMYFUNCTION("GOOGLEFINANCE(C31,""Changepct"")/100"),-0.0029)</f>
        <v>-2.8999999999999998E-3</v>
      </c>
      <c r="H31" s="11">
        <f ca="1">IFERROR(__xludf.DUMMYFUNCTION("GOOGLEFINANCE(C31,""Marketcap"")"),99800857880)</f>
        <v>99800857880</v>
      </c>
      <c r="I31" s="9"/>
      <c r="J31" s="14"/>
      <c r="K31" s="13">
        <f ca="1">IFERROR(__xludf.DUMMYFUNCTION("""COMPUTED_VALUE"""),44036.6458333333)</f>
        <v>44036.645833333299</v>
      </c>
      <c r="L31" s="14">
        <f ca="1">IFERROR(__xludf.DUMMYFUNCTION("""COMPUTED_VALUE"""),10999.45)</f>
        <v>10999.45</v>
      </c>
      <c r="M31" s="14">
        <f ca="1">IFERROR(__xludf.DUMMYFUNCTION("""COMPUTED_VALUE"""),11239.8)</f>
        <v>11239.8</v>
      </c>
      <c r="N31" s="14">
        <f ca="1">IFERROR(__xludf.DUMMYFUNCTION("""COMPUTED_VALUE"""),10953)</f>
        <v>10953</v>
      </c>
      <c r="O31" s="14">
        <f ca="1">IFERROR(__xludf.DUMMYFUNCTION("""COMPUTED_VALUE"""),11194.15)</f>
        <v>11194.15</v>
      </c>
      <c r="P31" s="14">
        <f ca="1">IFERROR(__xludf.DUMMYFUNCTION("""COMPUTED_VALUE"""),0)</f>
        <v>0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4" x14ac:dyDescent="0.3">
      <c r="A32" s="6" t="s">
        <v>86</v>
      </c>
      <c r="B32" s="6" t="s">
        <v>20</v>
      </c>
      <c r="C32" s="7" t="s">
        <v>87</v>
      </c>
      <c r="D32" s="7" t="s">
        <v>22</v>
      </c>
      <c r="E32" s="8">
        <f ca="1">IFERROR(__xludf.DUMMYFUNCTION("GOOGLEFINANCE(C32,""Price"")"),309)</f>
        <v>309</v>
      </c>
      <c r="F32" s="9">
        <f ca="1">IFERROR(__xludf.DUMMYFUNCTION("GOOGLEFINANCE(C32,""change"")"),-5.9)</f>
        <v>-5.9</v>
      </c>
      <c r="G32" s="10">
        <f ca="1">IFERROR(__xludf.DUMMYFUNCTION("GOOGLEFINANCE(C32,""Changepct"")/100"),-0.0187)</f>
        <v>-1.8700000000000001E-2</v>
      </c>
      <c r="H32" s="11">
        <f ca="1">IFERROR(__xludf.DUMMYFUNCTION("GOOGLEFINANCE(C32,""Marketcap"")"),613564305000)</f>
        <v>613564305000</v>
      </c>
      <c r="I32" s="9"/>
      <c r="J32" s="14"/>
      <c r="K32" s="13">
        <f ca="1">IFERROR(__xludf.DUMMYFUNCTION("""COMPUTED_VALUE"""),44043.6458333333)</f>
        <v>44043.645833333299</v>
      </c>
      <c r="L32" s="14">
        <f ca="1">IFERROR(__xludf.DUMMYFUNCTION("""COMPUTED_VALUE"""),11225)</f>
        <v>11225</v>
      </c>
      <c r="M32" s="14">
        <f ca="1">IFERROR(__xludf.DUMMYFUNCTION("""COMPUTED_VALUE"""),11341.4)</f>
        <v>11341.4</v>
      </c>
      <c r="N32" s="14">
        <f ca="1">IFERROR(__xludf.DUMMYFUNCTION("""COMPUTED_VALUE"""),11026.65)</f>
        <v>11026.65</v>
      </c>
      <c r="O32" s="14">
        <f ca="1">IFERROR(__xludf.DUMMYFUNCTION("""COMPUTED_VALUE"""),11073.45)</f>
        <v>11073.45</v>
      </c>
      <c r="P32" s="14">
        <f ca="1">IFERROR(__xludf.DUMMYFUNCTION("""COMPUTED_VALUE"""),0)</f>
        <v>0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4" x14ac:dyDescent="0.3">
      <c r="A33" s="6" t="s">
        <v>88</v>
      </c>
      <c r="B33" s="6" t="s">
        <v>29</v>
      </c>
      <c r="C33" s="7" t="s">
        <v>89</v>
      </c>
      <c r="D33" s="7" t="s">
        <v>13</v>
      </c>
      <c r="E33" s="8">
        <f ca="1">IFERROR(__xludf.DUMMYFUNCTION("GOOGLEFINANCE(C33,""Price"")"),657)</f>
        <v>657</v>
      </c>
      <c r="F33" s="9">
        <f ca="1">IFERROR(__xludf.DUMMYFUNCTION("GOOGLEFINANCE(C33,""change"")"),-7.15)</f>
        <v>-7.15</v>
      </c>
      <c r="G33" s="10">
        <f ca="1">IFERROR(__xludf.DUMMYFUNCTION("GOOGLEFINANCE(C33,""Changepct"")/100"),-0.0108)</f>
        <v>-1.0800000000000001E-2</v>
      </c>
      <c r="H33" s="11">
        <f ca="1">IFERROR(__xludf.DUMMYFUNCTION("GOOGLEFINANCE(C33,""Marketcap"")"),53825710500)</f>
        <v>53825710500</v>
      </c>
      <c r="I33" s="9"/>
      <c r="J33" s="14"/>
      <c r="K33" s="13">
        <f ca="1">IFERROR(__xludf.DUMMYFUNCTION("""COMPUTED_VALUE"""),44050.6458333333)</f>
        <v>44050.645833333299</v>
      </c>
      <c r="L33" s="14">
        <f ca="1">IFERROR(__xludf.DUMMYFUNCTION("""COMPUTED_VALUE"""),11057.55)</f>
        <v>11057.55</v>
      </c>
      <c r="M33" s="14">
        <f ca="1">IFERROR(__xludf.DUMMYFUNCTION("""COMPUTED_VALUE"""),11256.8)</f>
        <v>11256.8</v>
      </c>
      <c r="N33" s="14">
        <f ca="1">IFERROR(__xludf.DUMMYFUNCTION("""COMPUTED_VALUE"""),10882.25)</f>
        <v>10882.25</v>
      </c>
      <c r="O33" s="14">
        <f ca="1">IFERROR(__xludf.DUMMYFUNCTION("""COMPUTED_VALUE"""),11214.05)</f>
        <v>11214.05</v>
      </c>
      <c r="P33" s="14">
        <f ca="1">IFERROR(__xludf.DUMMYFUNCTION("""COMPUTED_VALUE"""),0)</f>
        <v>0</v>
      </c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4" x14ac:dyDescent="0.3">
      <c r="A34" s="6" t="s">
        <v>90</v>
      </c>
      <c r="B34" s="6" t="s">
        <v>91</v>
      </c>
      <c r="C34" s="7" t="s">
        <v>92</v>
      </c>
      <c r="D34" s="7" t="s">
        <v>22</v>
      </c>
      <c r="E34" s="8">
        <f ca="1">IFERROR(__xludf.DUMMYFUNCTION("GOOGLEFINANCE(C34,""Price"")"),3196.55)</f>
        <v>3196.55</v>
      </c>
      <c r="F34" s="9">
        <f ca="1">IFERROR(__xludf.DUMMYFUNCTION("GOOGLEFINANCE(C34,""change"")"),-61.65)</f>
        <v>-61.65</v>
      </c>
      <c r="G34" s="10">
        <f ca="1">IFERROR(__xludf.DUMMYFUNCTION("GOOGLEFINANCE(C34,""Changepct"")/100"),-0.0189)</f>
        <v>-1.89E-2</v>
      </c>
      <c r="H34" s="11">
        <f ca="1">IFERROR(__xludf.DUMMYFUNCTION("GOOGLEFINANCE(C34,""Marketcap"")"),459614670150)</f>
        <v>459614670150</v>
      </c>
      <c r="I34" s="9"/>
      <c r="J34" s="14"/>
      <c r="K34" s="13">
        <f ca="1">IFERROR(__xludf.DUMMYFUNCTION("""COMPUTED_VALUE"""),44057.6458333333)</f>
        <v>44057.645833333299</v>
      </c>
      <c r="L34" s="14">
        <f ca="1">IFERROR(__xludf.DUMMYFUNCTION("""COMPUTED_VALUE"""),11270.25)</f>
        <v>11270.25</v>
      </c>
      <c r="M34" s="14">
        <f ca="1">IFERROR(__xludf.DUMMYFUNCTION("""COMPUTED_VALUE"""),11373.6)</f>
        <v>11373.6</v>
      </c>
      <c r="N34" s="14">
        <f ca="1">IFERROR(__xludf.DUMMYFUNCTION("""COMPUTED_VALUE"""),11111.45)</f>
        <v>11111.45</v>
      </c>
      <c r="O34" s="14">
        <f ca="1">IFERROR(__xludf.DUMMYFUNCTION("""COMPUTED_VALUE"""),11178.4)</f>
        <v>11178.4</v>
      </c>
      <c r="P34" s="14">
        <f ca="1">IFERROR(__xludf.DUMMYFUNCTION("""COMPUTED_VALUE"""),0)</f>
        <v>0</v>
      </c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4" x14ac:dyDescent="0.3">
      <c r="A35" s="6" t="s">
        <v>93</v>
      </c>
      <c r="B35" s="6" t="s">
        <v>82</v>
      </c>
      <c r="C35" s="7" t="s">
        <v>94</v>
      </c>
      <c r="D35" s="7" t="s">
        <v>22</v>
      </c>
      <c r="E35" s="8">
        <f ca="1">IFERROR(__xludf.DUMMYFUNCTION("GOOGLEFINANCE(C35,""Price"")"),222.15)</f>
        <v>222.15</v>
      </c>
      <c r="F35" s="9">
        <f ca="1">IFERROR(__xludf.DUMMYFUNCTION("GOOGLEFINANCE(C35,""change"")"),-1.85)</f>
        <v>-1.85</v>
      </c>
      <c r="G35" s="10">
        <f ca="1">IFERROR(__xludf.DUMMYFUNCTION("GOOGLEFINANCE(C35,""Changepct"")/100"),-0.0083)</f>
        <v>-8.3000000000000001E-3</v>
      </c>
      <c r="H35" s="11">
        <f ca="1">IFERROR(__xludf.DUMMYFUNCTION("GOOGLEFINANCE(C35,""Marketcap"")"),140580311292)</f>
        <v>140580311292</v>
      </c>
      <c r="I35" s="9"/>
      <c r="J35" s="14"/>
      <c r="K35" s="13">
        <f ca="1">IFERROR(__xludf.DUMMYFUNCTION("""COMPUTED_VALUE"""),44064.6458333333)</f>
        <v>44064.645833333299</v>
      </c>
      <c r="L35" s="14">
        <f ca="1">IFERROR(__xludf.DUMMYFUNCTION("""COMPUTED_VALUE"""),11248.9)</f>
        <v>11248.9</v>
      </c>
      <c r="M35" s="14">
        <f ca="1">IFERROR(__xludf.DUMMYFUNCTION("""COMPUTED_VALUE"""),11460.35)</f>
        <v>11460.35</v>
      </c>
      <c r="N35" s="14">
        <f ca="1">IFERROR(__xludf.DUMMYFUNCTION("""COMPUTED_VALUE"""),11144.5)</f>
        <v>11144.5</v>
      </c>
      <c r="O35" s="14">
        <f ca="1">IFERROR(__xludf.DUMMYFUNCTION("""COMPUTED_VALUE"""),11371.6)</f>
        <v>11371.6</v>
      </c>
      <c r="P35" s="14">
        <f ca="1">IFERROR(__xludf.DUMMYFUNCTION("""COMPUTED_VALUE"""),0)</f>
        <v>0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4" x14ac:dyDescent="0.3">
      <c r="A36" s="6" t="s">
        <v>95</v>
      </c>
      <c r="B36" s="6" t="s">
        <v>82</v>
      </c>
      <c r="C36" s="7" t="s">
        <v>96</v>
      </c>
      <c r="D36" s="7" t="s">
        <v>13</v>
      </c>
      <c r="E36" s="8">
        <f ca="1">IFERROR(__xludf.DUMMYFUNCTION("GOOGLEFINANCE(C36,""Price"")"),301)</f>
        <v>301</v>
      </c>
      <c r="F36" s="9">
        <f ca="1">IFERROR(__xludf.DUMMYFUNCTION("GOOGLEFINANCE(C36,""change"")"),-10.65)</f>
        <v>-10.65</v>
      </c>
      <c r="G36" s="10">
        <f ca="1">IFERROR(__xludf.DUMMYFUNCTION("GOOGLEFINANCE(C36,""Changepct"")/100"),-0.0342)</f>
        <v>-3.4200000000000001E-2</v>
      </c>
      <c r="H36" s="11">
        <f ca="1">IFERROR(__xludf.DUMMYFUNCTION("GOOGLEFINANCE(C36,""Marketcap"")"),73365670120)</f>
        <v>73365670120</v>
      </c>
      <c r="I36" s="9"/>
      <c r="J36" s="14"/>
      <c r="K36" s="13">
        <f ca="1">IFERROR(__xludf.DUMMYFUNCTION("""COMPUTED_VALUE"""),44071.6458333333)</f>
        <v>44071.645833333299</v>
      </c>
      <c r="L36" s="14">
        <f ca="1">IFERROR(__xludf.DUMMYFUNCTION("""COMPUTED_VALUE"""),11412)</f>
        <v>11412</v>
      </c>
      <c r="M36" s="14">
        <f ca="1">IFERROR(__xludf.DUMMYFUNCTION("""COMPUTED_VALUE"""),11686.05)</f>
        <v>11686.05</v>
      </c>
      <c r="N36" s="14">
        <f ca="1">IFERROR(__xludf.DUMMYFUNCTION("""COMPUTED_VALUE"""),11410.65)</f>
        <v>11410.65</v>
      </c>
      <c r="O36" s="14">
        <f ca="1">IFERROR(__xludf.DUMMYFUNCTION("""COMPUTED_VALUE"""),11647.6)</f>
        <v>11647.6</v>
      </c>
      <c r="P36" s="14">
        <f ca="1">IFERROR(__xludf.DUMMYFUNCTION("""COMPUTED_VALUE"""),0)</f>
        <v>0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4" x14ac:dyDescent="0.3">
      <c r="A37" s="6" t="s">
        <v>97</v>
      </c>
      <c r="B37" s="6" t="s">
        <v>82</v>
      </c>
      <c r="C37" s="7" t="s">
        <v>98</v>
      </c>
      <c r="D37" s="7" t="s">
        <v>22</v>
      </c>
      <c r="E37" s="8">
        <f ca="1">IFERROR(__xludf.DUMMYFUNCTION("GOOGLEFINANCE(C37,""Price"")"),113.6)</f>
        <v>113.6</v>
      </c>
      <c r="F37" s="9">
        <f ca="1">IFERROR(__xludf.DUMMYFUNCTION("GOOGLEFINANCE(C37,""change"")"),-2.15)</f>
        <v>-2.15</v>
      </c>
      <c r="G37" s="10">
        <f ca="1">IFERROR(__xludf.DUMMYFUNCTION("GOOGLEFINANCE(C37,""Changepct"")/100"),-0.0186)</f>
        <v>-1.8599999999999998E-2</v>
      </c>
      <c r="H37" s="11">
        <f ca="1">IFERROR(__xludf.DUMMYFUNCTION("GOOGLEFINANCE(C37,""Marketcap"")"),333035529191)</f>
        <v>333035529191</v>
      </c>
      <c r="I37" s="9"/>
      <c r="J37" s="14"/>
      <c r="K37" s="13">
        <f ca="1">IFERROR(__xludf.DUMMYFUNCTION("""COMPUTED_VALUE"""),44078.6458333333)</f>
        <v>44078.645833333299</v>
      </c>
      <c r="L37" s="14">
        <f ca="1">IFERROR(__xludf.DUMMYFUNCTION("""COMPUTED_VALUE"""),11777.55)</f>
        <v>11777.55</v>
      </c>
      <c r="M37" s="14">
        <f ca="1">IFERROR(__xludf.DUMMYFUNCTION("""COMPUTED_VALUE"""),11794.25)</f>
        <v>11794.25</v>
      </c>
      <c r="N37" s="14">
        <f ca="1">IFERROR(__xludf.DUMMYFUNCTION("""COMPUTED_VALUE"""),11303.65)</f>
        <v>11303.65</v>
      </c>
      <c r="O37" s="14">
        <f ca="1">IFERROR(__xludf.DUMMYFUNCTION("""COMPUTED_VALUE"""),11333.85)</f>
        <v>11333.85</v>
      </c>
      <c r="P37" s="14">
        <f ca="1">IFERROR(__xludf.DUMMYFUNCTION("""COMPUTED_VALUE"""),0)</f>
        <v>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4" x14ac:dyDescent="0.3">
      <c r="A38" s="6" t="s">
        <v>99</v>
      </c>
      <c r="B38" s="6" t="s">
        <v>100</v>
      </c>
      <c r="C38" s="7" t="s">
        <v>101</v>
      </c>
      <c r="D38" s="7" t="s">
        <v>13</v>
      </c>
      <c r="E38" s="8">
        <f ca="1">IFERROR(__xludf.DUMMYFUNCTION("GOOGLEFINANCE(C38,""Price"")"),88)</f>
        <v>88</v>
      </c>
      <c r="F38" s="9">
        <f ca="1">IFERROR(__xludf.DUMMYFUNCTION("GOOGLEFINANCE(C38,""change"")"),3.8)</f>
        <v>3.8</v>
      </c>
      <c r="G38" s="10">
        <f ca="1">IFERROR(__xludf.DUMMYFUNCTION("GOOGLEFINANCE(C38,""Changepct"")/100"),0.0451)</f>
        <v>4.5100000000000001E-2</v>
      </c>
      <c r="H38" s="11">
        <f ca="1">IFERROR(__xludf.DUMMYFUNCTION("GOOGLEFINANCE(C38,""Marketcap"")"),24577866250)</f>
        <v>24577866250</v>
      </c>
      <c r="I38" s="9"/>
      <c r="J38" s="14"/>
      <c r="K38" s="13">
        <f ca="1">IFERROR(__xludf.DUMMYFUNCTION("""COMPUTED_VALUE"""),44085.6458333333)</f>
        <v>44085.645833333299</v>
      </c>
      <c r="L38" s="14">
        <f ca="1">IFERROR(__xludf.DUMMYFUNCTION("""COMPUTED_VALUE"""),11359.6)</f>
        <v>11359.6</v>
      </c>
      <c r="M38" s="14">
        <f ca="1">IFERROR(__xludf.DUMMYFUNCTION("""COMPUTED_VALUE"""),11493.5)</f>
        <v>11493.5</v>
      </c>
      <c r="N38" s="14">
        <f ca="1">IFERROR(__xludf.DUMMYFUNCTION("""COMPUTED_VALUE"""),11185.15)</f>
        <v>11185.15</v>
      </c>
      <c r="O38" s="14">
        <f ca="1">IFERROR(__xludf.DUMMYFUNCTION("""COMPUTED_VALUE"""),11464.45)</f>
        <v>11464.45</v>
      </c>
      <c r="P38" s="14">
        <f ca="1">IFERROR(__xludf.DUMMYFUNCTION("""COMPUTED_VALUE"""),0)</f>
        <v>0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4" x14ac:dyDescent="0.3">
      <c r="A39" s="6" t="s">
        <v>102</v>
      </c>
      <c r="B39" s="6" t="s">
        <v>11</v>
      </c>
      <c r="C39" s="7" t="s">
        <v>103</v>
      </c>
      <c r="D39" s="7" t="s">
        <v>22</v>
      </c>
      <c r="E39" s="8">
        <f ca="1">IFERROR(__xludf.DUMMYFUNCTION("GOOGLEFINANCE(C39,""Price"")"),2560.15)</f>
        <v>2560.15</v>
      </c>
      <c r="F39" s="9">
        <f ca="1">IFERROR(__xludf.DUMMYFUNCTION("GOOGLEFINANCE(C39,""change"")"),3.9)</f>
        <v>3.9</v>
      </c>
      <c r="G39" s="10">
        <f ca="1">IFERROR(__xludf.DUMMYFUNCTION("GOOGLEFINANCE(C39,""Changepct"")/100"),0.0015)</f>
        <v>1.5E-3</v>
      </c>
      <c r="H39" s="11">
        <f ca="1">IFERROR(__xludf.DUMMYFUNCTION("GOOGLEFINANCE(C39,""Marketcap"")"),2451469463088)</f>
        <v>2451469463088</v>
      </c>
      <c r="I39" s="9"/>
      <c r="J39" s="14"/>
      <c r="K39" s="13">
        <f ca="1">IFERROR(__xludf.DUMMYFUNCTION("""COMPUTED_VALUE"""),44092.6458333333)</f>
        <v>44092.645833333299</v>
      </c>
      <c r="L39" s="14">
        <f ca="1">IFERROR(__xludf.DUMMYFUNCTION("""COMPUTED_VALUE"""),11540.15)</f>
        <v>11540.15</v>
      </c>
      <c r="M39" s="14">
        <f ca="1">IFERROR(__xludf.DUMMYFUNCTION("""COMPUTED_VALUE"""),11618.1)</f>
        <v>11618.1</v>
      </c>
      <c r="N39" s="14">
        <f ca="1">IFERROR(__xludf.DUMMYFUNCTION("""COMPUTED_VALUE"""),11383.55)</f>
        <v>11383.55</v>
      </c>
      <c r="O39" s="14">
        <f ca="1">IFERROR(__xludf.DUMMYFUNCTION("""COMPUTED_VALUE"""),11504.95)</f>
        <v>11504.95</v>
      </c>
      <c r="P39" s="14">
        <f ca="1">IFERROR(__xludf.DUMMYFUNCTION("""COMPUTED_VALUE"""),0)</f>
        <v>0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4" x14ac:dyDescent="0.3">
      <c r="A40" s="6" t="s">
        <v>104</v>
      </c>
      <c r="B40" s="6" t="s">
        <v>91</v>
      </c>
      <c r="C40" s="7" t="s">
        <v>105</v>
      </c>
      <c r="D40" s="7" t="s">
        <v>13</v>
      </c>
      <c r="E40" s="8">
        <f ca="1">IFERROR(__xludf.DUMMYFUNCTION("GOOGLEFINANCE(C40,""Price"")"),155.95)</f>
        <v>155.94999999999999</v>
      </c>
      <c r="F40" s="9">
        <f ca="1">IFERROR(__xludf.DUMMYFUNCTION("GOOGLEFINANCE(C40,""change"")"),-3.35)</f>
        <v>-3.35</v>
      </c>
      <c r="G40" s="10">
        <f ca="1">IFERROR(__xludf.DUMMYFUNCTION("GOOGLEFINANCE(C40,""Changepct"")/100"),-0.021)</f>
        <v>-2.1000000000000001E-2</v>
      </c>
      <c r="H40" s="11">
        <f ca="1">IFERROR(__xludf.DUMMYFUNCTION("GOOGLEFINANCE(C40,""Marketcap"")"),77682175274)</f>
        <v>77682175274</v>
      </c>
      <c r="I40" s="9"/>
      <c r="J40" s="14"/>
      <c r="K40" s="13">
        <f ca="1">IFERROR(__xludf.DUMMYFUNCTION("""COMPUTED_VALUE"""),44099.6458333333)</f>
        <v>44099.645833333299</v>
      </c>
      <c r="L40" s="14">
        <f ca="1">IFERROR(__xludf.DUMMYFUNCTION("""COMPUTED_VALUE"""),11503.8)</f>
        <v>11503.8</v>
      </c>
      <c r="M40" s="14">
        <f ca="1">IFERROR(__xludf.DUMMYFUNCTION("""COMPUTED_VALUE"""),11535.25)</f>
        <v>11535.25</v>
      </c>
      <c r="N40" s="14">
        <f ca="1">IFERROR(__xludf.DUMMYFUNCTION("""COMPUTED_VALUE"""),10790.2)</f>
        <v>10790.2</v>
      </c>
      <c r="O40" s="14">
        <f ca="1">IFERROR(__xludf.DUMMYFUNCTION("""COMPUTED_VALUE"""),11050.25)</f>
        <v>11050.25</v>
      </c>
      <c r="P40" s="14">
        <f ca="1">IFERROR(__xludf.DUMMYFUNCTION("""COMPUTED_VALUE"""),0)</f>
        <v>0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4" x14ac:dyDescent="0.3">
      <c r="A41" s="6" t="s">
        <v>106</v>
      </c>
      <c r="B41" s="6" t="s">
        <v>32</v>
      </c>
      <c r="C41" s="7" t="s">
        <v>107</v>
      </c>
      <c r="D41" s="7" t="s">
        <v>13</v>
      </c>
      <c r="E41" s="8">
        <f ca="1">IFERROR(__xludf.DUMMYFUNCTION("GOOGLEFINANCE(C41,""Price"")"),3759)</f>
        <v>3759</v>
      </c>
      <c r="F41" s="9">
        <f ca="1">IFERROR(__xludf.DUMMYFUNCTION("GOOGLEFINANCE(C41,""change"")"),-26.95)</f>
        <v>-26.95</v>
      </c>
      <c r="G41" s="10">
        <f ca="1">IFERROR(__xludf.DUMMYFUNCTION("GOOGLEFINANCE(C41,""Changepct"")/100"),-0.00709999999999999)</f>
        <v>-7.09999999999999E-3</v>
      </c>
      <c r="H41" s="11">
        <f ca="1">IFERROR(__xludf.DUMMYFUNCTION("GOOGLEFINANCE(C41,""Marketcap"")"),93984397320)</f>
        <v>93984397320</v>
      </c>
      <c r="I41" s="9"/>
      <c r="J41" s="14"/>
      <c r="K41" s="13">
        <f ca="1">IFERROR(__xludf.DUMMYFUNCTION("""COMPUTED_VALUE"""),44105.6458333333)</f>
        <v>44105.645833333299</v>
      </c>
      <c r="L41" s="14">
        <f ca="1">IFERROR(__xludf.DUMMYFUNCTION("""COMPUTED_VALUE"""),11140.85)</f>
        <v>11140.85</v>
      </c>
      <c r="M41" s="14">
        <f ca="1">IFERROR(__xludf.DUMMYFUNCTION("""COMPUTED_VALUE"""),11428.6)</f>
        <v>11428.6</v>
      </c>
      <c r="N41" s="14">
        <f ca="1">IFERROR(__xludf.DUMMYFUNCTION("""COMPUTED_VALUE"""),11099.85)</f>
        <v>11099.85</v>
      </c>
      <c r="O41" s="14">
        <f ca="1">IFERROR(__xludf.DUMMYFUNCTION("""COMPUTED_VALUE"""),11416.95)</f>
        <v>11416.95</v>
      </c>
      <c r="P41" s="14">
        <f ca="1">IFERROR(__xludf.DUMMYFUNCTION("""COMPUTED_VALUE"""),0)</f>
        <v>0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4" x14ac:dyDescent="0.3">
      <c r="A42" s="6" t="s">
        <v>108</v>
      </c>
      <c r="B42" s="6" t="s">
        <v>15</v>
      </c>
      <c r="C42" s="7" t="s">
        <v>109</v>
      </c>
      <c r="D42" s="7" t="s">
        <v>13</v>
      </c>
      <c r="E42" s="8">
        <f ca="1">IFERROR(__xludf.DUMMYFUNCTION("GOOGLEFINANCE(C42,""Price"")"),1661)</f>
        <v>1661</v>
      </c>
      <c r="F42" s="9">
        <f ca="1">IFERROR(__xludf.DUMMYFUNCTION("GOOGLEFINANCE(C42,""change"")"),11.9)</f>
        <v>11.9</v>
      </c>
      <c r="G42" s="10">
        <f ca="1">IFERROR(__xludf.DUMMYFUNCTION("GOOGLEFINANCE(C42,""Changepct"")/100"),0.0072)</f>
        <v>7.1999999999999998E-3</v>
      </c>
      <c r="H42" s="11">
        <f ca="1">IFERROR(__xludf.DUMMYFUNCTION("GOOGLEFINANCE(C42,""Marketcap"")"),332221023800)</f>
        <v>332221023800</v>
      </c>
      <c r="I42" s="9"/>
      <c r="J42" s="14"/>
      <c r="K42" s="13">
        <f ca="1">IFERROR(__xludf.DUMMYFUNCTION("""COMPUTED_VALUE"""),44113.6458333333)</f>
        <v>44113.645833333299</v>
      </c>
      <c r="L42" s="14">
        <f ca="1">IFERROR(__xludf.DUMMYFUNCTION("""COMPUTED_VALUE"""),11487.8)</f>
        <v>11487.8</v>
      </c>
      <c r="M42" s="14">
        <f ca="1">IFERROR(__xludf.DUMMYFUNCTION("""COMPUTED_VALUE"""),11938.6)</f>
        <v>11938.6</v>
      </c>
      <c r="N42" s="14">
        <f ca="1">IFERROR(__xludf.DUMMYFUNCTION("""COMPUTED_VALUE"""),11452.3)</f>
        <v>11452.3</v>
      </c>
      <c r="O42" s="14">
        <f ca="1">IFERROR(__xludf.DUMMYFUNCTION("""COMPUTED_VALUE"""),11914.2)</f>
        <v>11914.2</v>
      </c>
      <c r="P42" s="14">
        <f ca="1">IFERROR(__xludf.DUMMYFUNCTION("""COMPUTED_VALUE"""),0)</f>
        <v>0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4" x14ac:dyDescent="0.3">
      <c r="A43" s="6" t="s">
        <v>110</v>
      </c>
      <c r="B43" s="6" t="s">
        <v>35</v>
      </c>
      <c r="C43" s="7" t="s">
        <v>111</v>
      </c>
      <c r="D43" s="7" t="s">
        <v>13</v>
      </c>
      <c r="E43" s="8">
        <f ca="1">IFERROR(__xludf.DUMMYFUNCTION("GOOGLEFINANCE(C43,""Price"")"),8210)</f>
        <v>8210</v>
      </c>
      <c r="F43" s="9">
        <f ca="1">IFERROR(__xludf.DUMMYFUNCTION("GOOGLEFINANCE(C43,""change"")"),-112.3)</f>
        <v>-112.3</v>
      </c>
      <c r="G43" s="10">
        <f ca="1">IFERROR(__xludf.DUMMYFUNCTION("GOOGLEFINANCE(C43,""Changepct"")/100"),-0.0135)</f>
        <v>-1.35E-2</v>
      </c>
      <c r="H43" s="11">
        <f ca="1">IFERROR(__xludf.DUMMYFUNCTION("GOOGLEFINANCE(C43,""Marketcap"")"),243909142139)</f>
        <v>243909142139</v>
      </c>
      <c r="I43" s="9"/>
      <c r="J43" s="14"/>
      <c r="K43" s="13">
        <f ca="1">IFERROR(__xludf.DUMMYFUNCTION("""COMPUTED_VALUE"""),44120.6458333333)</f>
        <v>44120.645833333299</v>
      </c>
      <c r="L43" s="14">
        <f ca="1">IFERROR(__xludf.DUMMYFUNCTION("""COMPUTED_VALUE"""),11973.55)</f>
        <v>11973.55</v>
      </c>
      <c r="M43" s="14">
        <f ca="1">IFERROR(__xludf.DUMMYFUNCTION("""COMPUTED_VALUE"""),12025.45)</f>
        <v>12025.45</v>
      </c>
      <c r="N43" s="14">
        <f ca="1">IFERROR(__xludf.DUMMYFUNCTION("""COMPUTED_VALUE"""),11661.3)</f>
        <v>11661.3</v>
      </c>
      <c r="O43" s="14">
        <f ca="1">IFERROR(__xludf.DUMMYFUNCTION("""COMPUTED_VALUE"""),11762.45)</f>
        <v>11762.45</v>
      </c>
      <c r="P43" s="14">
        <f ca="1">IFERROR(__xludf.DUMMYFUNCTION("""COMPUTED_VALUE"""),0)</f>
        <v>0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4" x14ac:dyDescent="0.3">
      <c r="A44" s="6" t="s">
        <v>112</v>
      </c>
      <c r="B44" s="6" t="s">
        <v>32</v>
      </c>
      <c r="C44" s="7" t="s">
        <v>113</v>
      </c>
      <c r="D44" s="7" t="s">
        <v>22</v>
      </c>
      <c r="E44" s="8">
        <f ca="1">IFERROR(__xludf.DUMMYFUNCTION("GOOGLEFINANCE(C44,""Price"")"),1016.45)</f>
        <v>1016.45</v>
      </c>
      <c r="F44" s="9">
        <f ca="1">IFERROR(__xludf.DUMMYFUNCTION("GOOGLEFINANCE(C44,""change"")"),-14.45)</f>
        <v>-14.45</v>
      </c>
      <c r="G44" s="10">
        <f ca="1">IFERROR(__xludf.DUMMYFUNCTION("GOOGLEFINANCE(C44,""Changepct"")/100"),-0.0139999999999999)</f>
        <v>-1.39999999999999E-2</v>
      </c>
      <c r="H44" s="11">
        <f ca="1">IFERROR(__xludf.DUMMYFUNCTION("GOOGLEFINANCE(C44,""Marketcap"")"),595517825250)</f>
        <v>595517825250</v>
      </c>
      <c r="I44" s="9"/>
      <c r="J44" s="14"/>
      <c r="K44" s="13">
        <f ca="1">IFERROR(__xludf.DUMMYFUNCTION("""COMPUTED_VALUE"""),44127.6458333333)</f>
        <v>44127.645833333299</v>
      </c>
      <c r="L44" s="14">
        <f ca="1">IFERROR(__xludf.DUMMYFUNCTION("""COMPUTED_VALUE"""),11879.2)</f>
        <v>11879.2</v>
      </c>
      <c r="M44" s="14">
        <f ca="1">IFERROR(__xludf.DUMMYFUNCTION("""COMPUTED_VALUE"""),12018.65)</f>
        <v>12018.65</v>
      </c>
      <c r="N44" s="14">
        <f ca="1">IFERROR(__xludf.DUMMYFUNCTION("""COMPUTED_VALUE"""),11775.75)</f>
        <v>11775.75</v>
      </c>
      <c r="O44" s="14">
        <f ca="1">IFERROR(__xludf.DUMMYFUNCTION("""COMPUTED_VALUE"""),11930.35)</f>
        <v>11930.35</v>
      </c>
      <c r="P44" s="14">
        <f ca="1">IFERROR(__xludf.DUMMYFUNCTION("""COMPUTED_VALUE"""),0)</f>
        <v>0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4" x14ac:dyDescent="0.3">
      <c r="A45" s="6" t="s">
        <v>114</v>
      </c>
      <c r="B45" s="6" t="s">
        <v>11</v>
      </c>
      <c r="C45" s="7" t="s">
        <v>115</v>
      </c>
      <c r="D45" s="7" t="s">
        <v>13</v>
      </c>
      <c r="E45" s="8">
        <f ca="1">IFERROR(__xludf.DUMMYFUNCTION("GOOGLEFINANCE(C45,""Price"")"),518)</f>
        <v>518</v>
      </c>
      <c r="F45" s="9">
        <f ca="1">IFERROR(__xludf.DUMMYFUNCTION("GOOGLEFINANCE(C45,""change"")"),27.5)</f>
        <v>27.5</v>
      </c>
      <c r="G45" s="10">
        <f ca="1">IFERROR(__xludf.DUMMYFUNCTION("GOOGLEFINANCE(C45,""Changepct"")/100"),0.0561)</f>
        <v>5.6099999999999997E-2</v>
      </c>
      <c r="H45" s="11">
        <f ca="1">IFERROR(__xludf.DUMMYFUNCTION("GOOGLEFINANCE(C45,""Marketcap"")"),70185216804)</f>
        <v>70185216804</v>
      </c>
      <c r="I45" s="9"/>
      <c r="J45" s="14"/>
      <c r="K45" s="13">
        <f ca="1">IFERROR(__xludf.DUMMYFUNCTION("""COMPUTED_VALUE"""),44134.6458333333)</f>
        <v>44134.645833333299</v>
      </c>
      <c r="L45" s="14">
        <f ca="1">IFERROR(__xludf.DUMMYFUNCTION("""COMPUTED_VALUE"""),11937.4)</f>
        <v>11937.4</v>
      </c>
      <c r="M45" s="14">
        <f ca="1">IFERROR(__xludf.DUMMYFUNCTION("""COMPUTED_VALUE"""),11942.85)</f>
        <v>11942.85</v>
      </c>
      <c r="N45" s="14">
        <f ca="1">IFERROR(__xludf.DUMMYFUNCTION("""COMPUTED_VALUE"""),11535.45)</f>
        <v>11535.45</v>
      </c>
      <c r="O45" s="14">
        <f ca="1">IFERROR(__xludf.DUMMYFUNCTION("""COMPUTED_VALUE"""),11642.4)</f>
        <v>11642.4</v>
      </c>
      <c r="P45" s="14">
        <f ca="1">IFERROR(__xludf.DUMMYFUNCTION("""COMPUTED_VALUE"""),0)</f>
        <v>0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4" x14ac:dyDescent="0.3">
      <c r="A46" s="6" t="s">
        <v>116</v>
      </c>
      <c r="B46" s="6" t="s">
        <v>57</v>
      </c>
      <c r="C46" s="7" t="s">
        <v>117</v>
      </c>
      <c r="D46" s="7" t="s">
        <v>13</v>
      </c>
      <c r="E46" s="8">
        <f ca="1">IFERROR(__xludf.DUMMYFUNCTION("GOOGLEFINANCE(C46,""Price"")"),2856)</f>
        <v>2856</v>
      </c>
      <c r="F46" s="9">
        <f ca="1">IFERROR(__xludf.DUMMYFUNCTION("GOOGLEFINANCE(C46,""change"")"),5.45)</f>
        <v>5.45</v>
      </c>
      <c r="G46" s="10">
        <f ca="1">IFERROR(__xludf.DUMMYFUNCTION("GOOGLEFINANCE(C46,""Changepct"")/100"),0.0019)</f>
        <v>1.9E-3</v>
      </c>
      <c r="H46" s="11">
        <f ca="1">IFERROR(__xludf.DUMMYFUNCTION("GOOGLEFINANCE(C46,""Marketcap"")"),1850758159400)</f>
        <v>1850758159400</v>
      </c>
      <c r="I46" s="9"/>
      <c r="J46" s="14"/>
      <c r="K46" s="13">
        <f ca="1">IFERROR(__xludf.DUMMYFUNCTION("""COMPUTED_VALUE"""),44141.6458333333)</f>
        <v>44141.645833333299</v>
      </c>
      <c r="L46" s="14">
        <f ca="1">IFERROR(__xludf.DUMMYFUNCTION("""COMPUTED_VALUE"""),11697.35)</f>
        <v>11697.35</v>
      </c>
      <c r="M46" s="14">
        <f ca="1">IFERROR(__xludf.DUMMYFUNCTION("""COMPUTED_VALUE"""),12280.4)</f>
        <v>12280.4</v>
      </c>
      <c r="N46" s="14">
        <f ca="1">IFERROR(__xludf.DUMMYFUNCTION("""COMPUTED_VALUE"""),11557.4)</f>
        <v>11557.4</v>
      </c>
      <c r="O46" s="14">
        <f ca="1">IFERROR(__xludf.DUMMYFUNCTION("""COMPUTED_VALUE"""),12263.55)</f>
        <v>12263.55</v>
      </c>
      <c r="P46" s="14">
        <f ca="1">IFERROR(__xludf.DUMMYFUNCTION("""COMPUTED_VALUE"""),0)</f>
        <v>0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4" x14ac:dyDescent="0.3">
      <c r="A47" s="6" t="s">
        <v>118</v>
      </c>
      <c r="B47" s="6" t="s">
        <v>29</v>
      </c>
      <c r="C47" s="7" t="s">
        <v>119</v>
      </c>
      <c r="D47" s="7" t="s">
        <v>22</v>
      </c>
      <c r="E47" s="8">
        <f ca="1">IFERROR(__xludf.DUMMYFUNCTION("GOOGLEFINANCE(C47,""Price"")"),691.2)</f>
        <v>691.2</v>
      </c>
      <c r="F47" s="9">
        <f ca="1">IFERROR(__xludf.DUMMYFUNCTION("GOOGLEFINANCE(C47,""change"")"),-16.15)</f>
        <v>-16.149999999999999</v>
      </c>
      <c r="G47" s="10">
        <f ca="1">IFERROR(__xludf.DUMMYFUNCTION("GOOGLEFINANCE(C47,""Changepct"")/100"),-0.0227999999999999)</f>
        <v>-2.27999999999999E-2</v>
      </c>
      <c r="H47" s="11">
        <f ca="1">IFERROR(__xludf.DUMMYFUNCTION("GOOGLEFINANCE(C47,""Marketcap"")"),2119032174381)</f>
        <v>2119032174381</v>
      </c>
      <c r="I47" s="9"/>
      <c r="J47" s="14"/>
      <c r="K47" s="13">
        <f ca="1">IFERROR(__xludf.DUMMYFUNCTION("""COMPUTED_VALUE"""),44148.6458333333)</f>
        <v>44148.645833333299</v>
      </c>
      <c r="L47" s="14">
        <f ca="1">IFERROR(__xludf.DUMMYFUNCTION("""COMPUTED_VALUE"""),12399.4)</f>
        <v>12399.4</v>
      </c>
      <c r="M47" s="14">
        <f ca="1">IFERROR(__xludf.DUMMYFUNCTION("""COMPUTED_VALUE"""),12769.75)</f>
        <v>12769.75</v>
      </c>
      <c r="N47" s="14">
        <f ca="1">IFERROR(__xludf.DUMMYFUNCTION("""COMPUTED_VALUE"""),12367.35)</f>
        <v>12367.35</v>
      </c>
      <c r="O47" s="14">
        <f ca="1">IFERROR(__xludf.DUMMYFUNCTION("""COMPUTED_VALUE"""),12719.95)</f>
        <v>12719.95</v>
      </c>
      <c r="P47" s="14">
        <f ca="1">IFERROR(__xludf.DUMMYFUNCTION("""COMPUTED_VALUE"""),0)</f>
        <v>0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4" x14ac:dyDescent="0.3">
      <c r="A48" s="6" t="s">
        <v>120</v>
      </c>
      <c r="B48" s="6" t="s">
        <v>35</v>
      </c>
      <c r="C48" s="7" t="s">
        <v>121</v>
      </c>
      <c r="D48" s="7" t="s">
        <v>13</v>
      </c>
      <c r="E48" s="8">
        <f ca="1">IFERROR(__xludf.DUMMYFUNCTION("GOOGLEFINANCE(C48,""Price"")"),2450)</f>
        <v>2450</v>
      </c>
      <c r="F48" s="9">
        <f ca="1">IFERROR(__xludf.DUMMYFUNCTION("GOOGLEFINANCE(C48,""change"")"),-43.6)</f>
        <v>-43.6</v>
      </c>
      <c r="G48" s="10">
        <f ca="1">IFERROR(__xludf.DUMMYFUNCTION("GOOGLEFINANCE(C48,""Changepct"")/100"),-0.0175)</f>
        <v>-1.7500000000000002E-2</v>
      </c>
      <c r="H48" s="11">
        <f ca="1">IFERROR(__xludf.DUMMYFUNCTION("GOOGLEFINANCE(C48,""Marketcap"")"),106019850784)</f>
        <v>106019850784</v>
      </c>
      <c r="I48" s="9"/>
      <c r="J48" s="14"/>
      <c r="K48" s="13">
        <f ca="1">IFERROR(__xludf.DUMMYFUNCTION("""COMPUTED_VALUE"""),44155.6458333333)</f>
        <v>44155.645833333299</v>
      </c>
      <c r="L48" s="14">
        <f ca="1">IFERROR(__xludf.DUMMYFUNCTION("""COMPUTED_VALUE"""),12932.5)</f>
        <v>12932.5</v>
      </c>
      <c r="M48" s="14">
        <f ca="1">IFERROR(__xludf.DUMMYFUNCTION("""COMPUTED_VALUE"""),12963)</f>
        <v>12963</v>
      </c>
      <c r="N48" s="14">
        <f ca="1">IFERROR(__xludf.DUMMYFUNCTION("""COMPUTED_VALUE"""),12730.25)</f>
        <v>12730.25</v>
      </c>
      <c r="O48" s="14">
        <f ca="1">IFERROR(__xludf.DUMMYFUNCTION("""COMPUTED_VALUE"""),12859.05)</f>
        <v>12859.05</v>
      </c>
      <c r="P48" s="14">
        <f ca="1">IFERROR(__xludf.DUMMYFUNCTION("""COMPUTED_VALUE"""),0)</f>
        <v>0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4" x14ac:dyDescent="0.3">
      <c r="A49" s="6" t="s">
        <v>122</v>
      </c>
      <c r="B49" s="6" t="s">
        <v>15</v>
      </c>
      <c r="C49" s="7" t="s">
        <v>123</v>
      </c>
      <c r="D49" s="7" t="s">
        <v>13</v>
      </c>
      <c r="E49" s="8">
        <f ca="1">IFERROR(__xludf.DUMMYFUNCTION("GOOGLEFINANCE(C49,""Price"")"),1320)</f>
        <v>1320</v>
      </c>
      <c r="F49" s="9">
        <f ca="1">IFERROR(__xludf.DUMMYFUNCTION("GOOGLEFINANCE(C49,""change"")"),2.7)</f>
        <v>2.7</v>
      </c>
      <c r="G49" s="10">
        <f ca="1">IFERROR(__xludf.DUMMYFUNCTION("GOOGLEFINANCE(C49,""Changepct"")/100"),0.002)</f>
        <v>2E-3</v>
      </c>
      <c r="H49" s="11">
        <f ca="1">IFERROR(__xludf.DUMMYFUNCTION("GOOGLEFINANCE(C49,""Marketcap"")"),54908192916)</f>
        <v>54908192916</v>
      </c>
      <c r="I49" s="9"/>
      <c r="J49" s="14"/>
      <c r="K49" s="13">
        <f ca="1">IFERROR(__xludf.DUMMYFUNCTION("""COMPUTED_VALUE"""),44162.6458333333)</f>
        <v>44162.645833333299</v>
      </c>
      <c r="L49" s="14">
        <f ca="1">IFERROR(__xludf.DUMMYFUNCTION("""COMPUTED_VALUE"""),12960.3)</f>
        <v>12960.3</v>
      </c>
      <c r="M49" s="14">
        <f ca="1">IFERROR(__xludf.DUMMYFUNCTION("""COMPUTED_VALUE"""),13145.85)</f>
        <v>13145.85</v>
      </c>
      <c r="N49" s="14">
        <f ca="1">IFERROR(__xludf.DUMMYFUNCTION("""COMPUTED_VALUE"""),12790.4)</f>
        <v>12790.4</v>
      </c>
      <c r="O49" s="14">
        <f ca="1">IFERROR(__xludf.DUMMYFUNCTION("""COMPUTED_VALUE"""),12968.95)</f>
        <v>12968.95</v>
      </c>
      <c r="P49" s="14">
        <f ca="1">IFERROR(__xludf.DUMMYFUNCTION("""COMPUTED_VALUE"""),0)</f>
        <v>0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4" x14ac:dyDescent="0.3">
      <c r="A50" s="6" t="s">
        <v>124</v>
      </c>
      <c r="B50" s="6" t="s">
        <v>29</v>
      </c>
      <c r="C50" s="7" t="s">
        <v>125</v>
      </c>
      <c r="D50" s="7" t="s">
        <v>13</v>
      </c>
      <c r="E50" s="8">
        <f ca="1">IFERROR(__xludf.DUMMYFUNCTION("GOOGLEFINANCE(C50,""Price"")"),735.25)</f>
        <v>735.25</v>
      </c>
      <c r="F50" s="9">
        <f ca="1">IFERROR(__xludf.DUMMYFUNCTION("GOOGLEFINANCE(C50,""change"")"),28.55)</f>
        <v>28.55</v>
      </c>
      <c r="G50" s="10">
        <f ca="1">IFERROR(__xludf.DUMMYFUNCTION("GOOGLEFINANCE(C50,""Changepct"")/100"),0.0404)</f>
        <v>4.0399999999999998E-2</v>
      </c>
      <c r="H50" s="11">
        <f ca="1">IFERROR(__xludf.DUMMYFUNCTION("GOOGLEFINANCE(C50,""Marketcap"")"),33104109222)</f>
        <v>33104109222</v>
      </c>
      <c r="I50" s="9"/>
      <c r="J50" s="14"/>
      <c r="K50" s="13">
        <f ca="1">IFERROR(__xludf.DUMMYFUNCTION("""COMPUTED_VALUE"""),44169.6458333333)</f>
        <v>44169.645833333299</v>
      </c>
      <c r="L50" s="14">
        <f ca="1">IFERROR(__xludf.DUMMYFUNCTION("""COMPUTED_VALUE"""),13062.2)</f>
        <v>13062.2</v>
      </c>
      <c r="M50" s="14">
        <f ca="1">IFERROR(__xludf.DUMMYFUNCTION("""COMPUTED_VALUE"""),13280.05)</f>
        <v>13280.05</v>
      </c>
      <c r="N50" s="14">
        <f ca="1">IFERROR(__xludf.DUMMYFUNCTION("""COMPUTED_VALUE"""),12962.8)</f>
        <v>12962.8</v>
      </c>
      <c r="O50" s="14">
        <f ca="1">IFERROR(__xludf.DUMMYFUNCTION("""COMPUTED_VALUE"""),13258.55)</f>
        <v>13258.55</v>
      </c>
      <c r="P50" s="14">
        <f ca="1">IFERROR(__xludf.DUMMYFUNCTION("""COMPUTED_VALUE"""),0)</f>
        <v>0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4" x14ac:dyDescent="0.3">
      <c r="A51" s="6" t="s">
        <v>126</v>
      </c>
      <c r="B51" s="6" t="s">
        <v>82</v>
      </c>
      <c r="C51" s="7" t="s">
        <v>127</v>
      </c>
      <c r="D51" s="7" t="s">
        <v>22</v>
      </c>
      <c r="E51" s="8">
        <f ca="1">IFERROR(__xludf.DUMMYFUNCTION("GOOGLEFINANCE(C51,""Price"")"),3875.5)</f>
        <v>3875.5</v>
      </c>
      <c r="F51" s="9">
        <f ca="1">IFERROR(__xludf.DUMMYFUNCTION("GOOGLEFINANCE(C51,""change"")"),-3.8)</f>
        <v>-3.8</v>
      </c>
      <c r="G51" s="10">
        <f ca="1">IFERROR(__xludf.DUMMYFUNCTION("GOOGLEFINANCE(C51,""Changepct"")/100"),-0.001)</f>
        <v>-1E-3</v>
      </c>
      <c r="H51" s="11">
        <f ca="1">IFERROR(__xludf.DUMMYFUNCTION("GOOGLEFINANCE(C51,""Marketcap"")"),1119925022584)</f>
        <v>1119925022584</v>
      </c>
      <c r="I51" s="9"/>
      <c r="J51" s="14"/>
      <c r="K51" s="13">
        <f ca="1">IFERROR(__xludf.DUMMYFUNCTION("""COMPUTED_VALUE"""),44176.6458333333)</f>
        <v>44176.645833333299</v>
      </c>
      <c r="L51" s="14">
        <f ca="1">IFERROR(__xludf.DUMMYFUNCTION("""COMPUTED_VALUE"""),13264.85)</f>
        <v>13264.85</v>
      </c>
      <c r="M51" s="14">
        <f ca="1">IFERROR(__xludf.DUMMYFUNCTION("""COMPUTED_VALUE"""),13579.35)</f>
        <v>13579.35</v>
      </c>
      <c r="N51" s="14">
        <f ca="1">IFERROR(__xludf.DUMMYFUNCTION("""COMPUTED_VALUE"""),13241.95)</f>
        <v>13241.95</v>
      </c>
      <c r="O51" s="14">
        <f ca="1">IFERROR(__xludf.DUMMYFUNCTION("""COMPUTED_VALUE"""),13513.85)</f>
        <v>13513.85</v>
      </c>
      <c r="P51" s="14">
        <f ca="1">IFERROR(__xludf.DUMMYFUNCTION("""COMPUTED_VALUE"""),0)</f>
        <v>0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4" x14ac:dyDescent="0.3">
      <c r="A52" s="6" t="s">
        <v>128</v>
      </c>
      <c r="B52" s="6" t="s">
        <v>11</v>
      </c>
      <c r="C52" s="7" t="s">
        <v>129</v>
      </c>
      <c r="D52" s="7" t="s">
        <v>13</v>
      </c>
      <c r="E52" s="8">
        <f ca="1">IFERROR(__xludf.DUMMYFUNCTION("GOOGLEFINANCE(C52,""Price"")"),268.95)</f>
        <v>268.95</v>
      </c>
      <c r="F52" s="9">
        <f ca="1">IFERROR(__xludf.DUMMYFUNCTION("GOOGLEFINANCE(C52,""change"")"),-5.8)</f>
        <v>-5.8</v>
      </c>
      <c r="G52" s="10">
        <f ca="1">IFERROR(__xludf.DUMMYFUNCTION("GOOGLEFINANCE(C52,""Changepct"")/100"),-0.0210999999999999)</f>
        <v>-2.10999999999999E-2</v>
      </c>
      <c r="H52" s="11">
        <f ca="1">IFERROR(__xludf.DUMMYFUNCTION("GOOGLEFINANCE(C52,""Marketcap"")"),39644679020)</f>
        <v>39644679020</v>
      </c>
      <c r="I52" s="9"/>
      <c r="J52" s="14"/>
      <c r="K52" s="13">
        <f ca="1">IFERROR(__xludf.DUMMYFUNCTION("""COMPUTED_VALUE"""),44183.6458333333)</f>
        <v>44183.645833333299</v>
      </c>
      <c r="L52" s="14">
        <f ca="1">IFERROR(__xludf.DUMMYFUNCTION("""COMPUTED_VALUE"""),13571.45)</f>
        <v>13571.45</v>
      </c>
      <c r="M52" s="14">
        <f ca="1">IFERROR(__xludf.DUMMYFUNCTION("""COMPUTED_VALUE"""),13773.25)</f>
        <v>13773.25</v>
      </c>
      <c r="N52" s="14">
        <f ca="1">IFERROR(__xludf.DUMMYFUNCTION("""COMPUTED_VALUE"""),13447.05)</f>
        <v>13447.05</v>
      </c>
      <c r="O52" s="14">
        <f ca="1">IFERROR(__xludf.DUMMYFUNCTION("""COMPUTED_VALUE"""),13760.55)</f>
        <v>13760.55</v>
      </c>
      <c r="P52" s="14">
        <f ca="1">IFERROR(__xludf.DUMMYFUNCTION("""COMPUTED_VALUE"""),0)</f>
        <v>0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4" x14ac:dyDescent="0.3">
      <c r="A53" s="6" t="s">
        <v>130</v>
      </c>
      <c r="B53" s="6" t="s">
        <v>11</v>
      </c>
      <c r="C53" s="7" t="s">
        <v>131</v>
      </c>
      <c r="D53" s="7" t="s">
        <v>13</v>
      </c>
      <c r="E53" s="8">
        <f ca="1">IFERROR(__xludf.DUMMYFUNCTION("GOOGLEFINANCE(C53,""Price"")"),1151.2)</f>
        <v>1151.2</v>
      </c>
      <c r="F53" s="9">
        <f ca="1">IFERROR(__xludf.DUMMYFUNCTION("GOOGLEFINANCE(C53,""change"")"),-26.5)</f>
        <v>-26.5</v>
      </c>
      <c r="G53" s="10">
        <f ca="1">IFERROR(__xludf.DUMMYFUNCTION("GOOGLEFINANCE(C53,""Changepct"")/100"),-0.0225)</f>
        <v>-2.2499999999999999E-2</v>
      </c>
      <c r="H53" s="11">
        <f ca="1">IFERROR(__xludf.DUMMYFUNCTION("GOOGLEFINANCE(C53,""Marketcap"")"),132515937389)</f>
        <v>132515937389</v>
      </c>
      <c r="I53" s="9"/>
      <c r="J53" s="14"/>
      <c r="K53" s="13">
        <f ca="1">IFERROR(__xludf.DUMMYFUNCTION("""COMPUTED_VALUE"""),44189.6458333333)</f>
        <v>44189.645833333299</v>
      </c>
      <c r="L53" s="14">
        <f ca="1">IFERROR(__xludf.DUMMYFUNCTION("""COMPUTED_VALUE"""),13741.9)</f>
        <v>13741.9</v>
      </c>
      <c r="M53" s="14">
        <f ca="1">IFERROR(__xludf.DUMMYFUNCTION("""COMPUTED_VALUE"""),13777.5)</f>
        <v>13777.5</v>
      </c>
      <c r="N53" s="14">
        <f ca="1">IFERROR(__xludf.DUMMYFUNCTION("""COMPUTED_VALUE"""),13131.45)</f>
        <v>13131.45</v>
      </c>
      <c r="O53" s="14">
        <f ca="1">IFERROR(__xludf.DUMMYFUNCTION("""COMPUTED_VALUE"""),13749.25)</f>
        <v>13749.25</v>
      </c>
      <c r="P53" s="14">
        <f ca="1">IFERROR(__xludf.DUMMYFUNCTION("""COMPUTED_VALUE"""),0)</f>
        <v>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4" x14ac:dyDescent="0.3">
      <c r="A54" s="6" t="s">
        <v>132</v>
      </c>
      <c r="B54" s="6" t="s">
        <v>29</v>
      </c>
      <c r="C54" s="7" t="s">
        <v>133</v>
      </c>
      <c r="D54" s="7" t="s">
        <v>22</v>
      </c>
      <c r="E54" s="8">
        <f ca="1">IFERROR(__xludf.DUMMYFUNCTION("GOOGLEFINANCE(C54,""Price"")"),5362)</f>
        <v>5362</v>
      </c>
      <c r="F54" s="9">
        <f ca="1">IFERROR(__xludf.DUMMYFUNCTION("GOOGLEFINANCE(C54,""change"")"),-62.7)</f>
        <v>-62.7</v>
      </c>
      <c r="G54" s="10">
        <f ca="1">IFERROR(__xludf.DUMMYFUNCTION("GOOGLEFINANCE(C54,""Changepct"")/100"),-0.0116)</f>
        <v>-1.1599999999999999E-2</v>
      </c>
      <c r="H54" s="11">
        <f ca="1">IFERROR(__xludf.DUMMYFUNCTION("GOOGLEFINANCE(C54,""Marketcap"")"),3226971386655)</f>
        <v>3226971386655</v>
      </c>
      <c r="I54" s="9"/>
      <c r="J54" s="14"/>
      <c r="K54" s="13">
        <f ca="1">IFERROR(__xludf.DUMMYFUNCTION("""COMPUTED_VALUE"""),44197.6458333333)</f>
        <v>44197.645833333299</v>
      </c>
      <c r="L54" s="14">
        <f ca="1">IFERROR(__xludf.DUMMYFUNCTION("""COMPUTED_VALUE"""),13815.15)</f>
        <v>13815.15</v>
      </c>
      <c r="M54" s="14">
        <f ca="1">IFERROR(__xludf.DUMMYFUNCTION("""COMPUTED_VALUE"""),14049.85)</f>
        <v>14049.85</v>
      </c>
      <c r="N54" s="14">
        <f ca="1">IFERROR(__xludf.DUMMYFUNCTION("""COMPUTED_VALUE"""),13811.55)</f>
        <v>13811.55</v>
      </c>
      <c r="O54" s="14">
        <f ca="1">IFERROR(__xludf.DUMMYFUNCTION("""COMPUTED_VALUE"""),14018.5)</f>
        <v>14018.5</v>
      </c>
      <c r="P54" s="14">
        <f ca="1">IFERROR(__xludf.DUMMYFUNCTION("""COMPUTED_VALUE"""),0)</f>
        <v>0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4" x14ac:dyDescent="0.3">
      <c r="A55" s="6" t="s">
        <v>134</v>
      </c>
      <c r="B55" s="6" t="s">
        <v>29</v>
      </c>
      <c r="C55" s="7" t="s">
        <v>135</v>
      </c>
      <c r="D55" s="7" t="s">
        <v>22</v>
      </c>
      <c r="E55" s="8">
        <f ca="1">IFERROR(__xludf.DUMMYFUNCTION("GOOGLEFINANCE(C55,""Price"")"),11077.7)</f>
        <v>11077.7</v>
      </c>
      <c r="F55" s="9">
        <f ca="1">IFERROR(__xludf.DUMMYFUNCTION("GOOGLEFINANCE(C55,""change"")"),-115.35)</f>
        <v>-115.35</v>
      </c>
      <c r="G55" s="10">
        <f ca="1">IFERROR(__xludf.DUMMYFUNCTION("GOOGLEFINANCE(C55,""Changepct"")/100"),-0.0103)</f>
        <v>-1.03E-2</v>
      </c>
      <c r="H55" s="11">
        <f ca="1">IFERROR(__xludf.DUMMYFUNCTION("GOOGLEFINANCE(C55,""Marketcap"")"),1760635829582)</f>
        <v>1760635829582</v>
      </c>
      <c r="I55" s="9"/>
      <c r="J55" s="14"/>
      <c r="K55" s="13">
        <f ca="1">IFERROR(__xludf.DUMMYFUNCTION("""COMPUTED_VALUE"""),44204.6458333333)</f>
        <v>44204.645833333299</v>
      </c>
      <c r="L55" s="14">
        <f ca="1">IFERROR(__xludf.DUMMYFUNCTION("""COMPUTED_VALUE"""),14104.35)</f>
        <v>14104.35</v>
      </c>
      <c r="M55" s="14">
        <f ca="1">IFERROR(__xludf.DUMMYFUNCTION("""COMPUTED_VALUE"""),14367.3)</f>
        <v>14367.3</v>
      </c>
      <c r="N55" s="14">
        <f ca="1">IFERROR(__xludf.DUMMYFUNCTION("""COMPUTED_VALUE"""),13953.75)</f>
        <v>13953.75</v>
      </c>
      <c r="O55" s="14">
        <f ca="1">IFERROR(__xludf.DUMMYFUNCTION("""COMPUTED_VALUE"""),14347.25)</f>
        <v>14347.25</v>
      </c>
      <c r="P55" s="14">
        <f ca="1">IFERROR(__xludf.DUMMYFUNCTION("""COMPUTED_VALUE"""),0)</f>
        <v>0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4" x14ac:dyDescent="0.3">
      <c r="A56" s="6" t="s">
        <v>136</v>
      </c>
      <c r="B56" s="6" t="s">
        <v>29</v>
      </c>
      <c r="C56" s="7" t="s">
        <v>137</v>
      </c>
      <c r="D56" s="7" t="s">
        <v>13</v>
      </c>
      <c r="E56" s="8">
        <f ca="1">IFERROR(__xludf.DUMMYFUNCTION("GOOGLEFINANCE(C56,""Price"")"),3514.95)</f>
        <v>3514.95</v>
      </c>
      <c r="F56" s="9">
        <f ca="1">IFERROR(__xludf.DUMMYFUNCTION("GOOGLEFINANCE(C56,""change"")"),1.35)</f>
        <v>1.35</v>
      </c>
      <c r="G56" s="10">
        <f ca="1">IFERROR(__xludf.DUMMYFUNCTION("GOOGLEFINANCE(C56,""Changepct"")/100"),0.0004)</f>
        <v>4.0000000000000002E-4</v>
      </c>
      <c r="H56" s="11">
        <f ca="1">IFERROR(__xludf.DUMMYFUNCTION("GOOGLEFINANCE(C56,""Marketcap"")"),391191082390)</f>
        <v>391191082390</v>
      </c>
      <c r="I56" s="9"/>
      <c r="J56" s="14"/>
      <c r="K56" s="13">
        <f ca="1">IFERROR(__xludf.DUMMYFUNCTION("""COMPUTED_VALUE"""),44211.6458333333)</f>
        <v>44211.645833333299</v>
      </c>
      <c r="L56" s="14">
        <f ca="1">IFERROR(__xludf.DUMMYFUNCTION("""COMPUTED_VALUE"""),14474.05)</f>
        <v>14474.05</v>
      </c>
      <c r="M56" s="14">
        <f ca="1">IFERROR(__xludf.DUMMYFUNCTION("""COMPUTED_VALUE"""),14653.35)</f>
        <v>14653.35</v>
      </c>
      <c r="N56" s="14">
        <f ca="1">IFERROR(__xludf.DUMMYFUNCTION("""COMPUTED_VALUE"""),14357.85)</f>
        <v>14357.85</v>
      </c>
      <c r="O56" s="14">
        <f ca="1">IFERROR(__xludf.DUMMYFUNCTION("""COMPUTED_VALUE"""),14433.7)</f>
        <v>14433.7</v>
      </c>
      <c r="P56" s="14">
        <f ca="1">IFERROR(__xludf.DUMMYFUNCTION("""COMPUTED_VALUE"""),0)</f>
        <v>0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4" x14ac:dyDescent="0.3">
      <c r="A57" s="6" t="s">
        <v>138</v>
      </c>
      <c r="B57" s="6" t="s">
        <v>35</v>
      </c>
      <c r="C57" s="7" t="s">
        <v>139</v>
      </c>
      <c r="D57" s="7" t="s">
        <v>13</v>
      </c>
      <c r="E57" s="8">
        <f ca="1">IFERROR(__xludf.DUMMYFUNCTION("GOOGLEFINANCE(C57,""Price"")"),2450)</f>
        <v>2450</v>
      </c>
      <c r="F57" s="9">
        <f ca="1">IFERROR(__xludf.DUMMYFUNCTION("GOOGLEFINANCE(C57,""change"")"),74.5)</f>
        <v>74.5</v>
      </c>
      <c r="G57" s="10">
        <f ca="1">IFERROR(__xludf.DUMMYFUNCTION("GOOGLEFINANCE(C57,""Changepct"")/100"),0.0314)</f>
        <v>3.1399999999999997E-2</v>
      </c>
      <c r="H57" s="11">
        <f ca="1">IFERROR(__xludf.DUMMYFUNCTION("GOOGLEFINANCE(C57,""Marketcap"")"),79290853075)</f>
        <v>79290853075</v>
      </c>
      <c r="I57" s="9"/>
      <c r="J57" s="14"/>
      <c r="K57" s="13">
        <f ca="1">IFERROR(__xludf.DUMMYFUNCTION("""COMPUTED_VALUE"""),44218.6458333333)</f>
        <v>44218.645833333299</v>
      </c>
      <c r="L57" s="14">
        <f ca="1">IFERROR(__xludf.DUMMYFUNCTION("""COMPUTED_VALUE"""),14453.3)</f>
        <v>14453.3</v>
      </c>
      <c r="M57" s="14">
        <f ca="1">IFERROR(__xludf.DUMMYFUNCTION("""COMPUTED_VALUE"""),14753.55)</f>
        <v>14753.55</v>
      </c>
      <c r="N57" s="14">
        <f ca="1">IFERROR(__xludf.DUMMYFUNCTION("""COMPUTED_VALUE"""),14222.8)</f>
        <v>14222.8</v>
      </c>
      <c r="O57" s="14">
        <f ca="1">IFERROR(__xludf.DUMMYFUNCTION("""COMPUTED_VALUE"""),14371.9)</f>
        <v>14371.9</v>
      </c>
      <c r="P57" s="14">
        <f ca="1">IFERROR(__xludf.DUMMYFUNCTION("""COMPUTED_VALUE"""),0)</f>
        <v>0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4" x14ac:dyDescent="0.3">
      <c r="A58" s="6" t="s">
        <v>140</v>
      </c>
      <c r="B58" s="6" t="s">
        <v>82</v>
      </c>
      <c r="C58" s="7" t="s">
        <v>141</v>
      </c>
      <c r="D58" s="7" t="s">
        <v>22</v>
      </c>
      <c r="E58" s="8">
        <f ca="1">IFERROR(__xludf.DUMMYFUNCTION("GOOGLEFINANCE(C58,""Price"")"),1926.1)</f>
        <v>1926.1</v>
      </c>
      <c r="F58" s="9">
        <f ca="1">IFERROR(__xludf.DUMMYFUNCTION("GOOGLEFINANCE(C58,""change"")"),20.6)</f>
        <v>20.6</v>
      </c>
      <c r="G58" s="10">
        <f ca="1">IFERROR(__xludf.DUMMYFUNCTION("GOOGLEFINANCE(C58,""Changepct"")/100"),0.0108)</f>
        <v>1.0800000000000001E-2</v>
      </c>
      <c r="H58" s="11">
        <f ca="1">IFERROR(__xludf.DUMMYFUNCTION("GOOGLEFINANCE(C58,""Marketcap"")"),371013498643)</f>
        <v>371013498643</v>
      </c>
      <c r="I58" s="9"/>
      <c r="J58" s="14"/>
      <c r="K58" s="13">
        <f ca="1">IFERROR(__xludf.DUMMYFUNCTION("""COMPUTED_VALUE"""),44225.6458333333)</f>
        <v>44225.645833333299</v>
      </c>
      <c r="L58" s="14">
        <f ca="1">IFERROR(__xludf.DUMMYFUNCTION("""COMPUTED_VALUE"""),14477.8)</f>
        <v>14477.8</v>
      </c>
      <c r="M58" s="14">
        <f ca="1">IFERROR(__xludf.DUMMYFUNCTION("""COMPUTED_VALUE"""),14491.1)</f>
        <v>14491.1</v>
      </c>
      <c r="N58" s="14">
        <f ca="1">IFERROR(__xludf.DUMMYFUNCTION("""COMPUTED_VALUE"""),13596.75)</f>
        <v>13596.75</v>
      </c>
      <c r="O58" s="14">
        <f ca="1">IFERROR(__xludf.DUMMYFUNCTION("""COMPUTED_VALUE"""),13634.6)</f>
        <v>13634.6</v>
      </c>
      <c r="P58" s="14">
        <f ca="1">IFERROR(__xludf.DUMMYFUNCTION("""COMPUTED_VALUE"""),0)</f>
        <v>0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4" x14ac:dyDescent="0.3">
      <c r="A59" s="6" t="s">
        <v>142</v>
      </c>
      <c r="B59" s="6" t="s">
        <v>15</v>
      </c>
      <c r="C59" s="7" t="s">
        <v>143</v>
      </c>
      <c r="D59" s="7" t="s">
        <v>13</v>
      </c>
      <c r="E59" s="8">
        <f ca="1">IFERROR(__xludf.DUMMYFUNCTION("GOOGLEFINANCE(C59,""Price"")"),141.5)</f>
        <v>141.5</v>
      </c>
      <c r="F59" s="9">
        <f ca="1">IFERROR(__xludf.DUMMYFUNCTION("GOOGLEFINANCE(C59,""change"")"),-2.1)</f>
        <v>-2.1</v>
      </c>
      <c r="G59" s="10">
        <f ca="1">IFERROR(__xludf.DUMMYFUNCTION("GOOGLEFINANCE(C59,""Changepct"")/100"),-0.0146)</f>
        <v>-1.46E-2</v>
      </c>
      <c r="H59" s="11">
        <f ca="1">IFERROR(__xludf.DUMMYFUNCTION("GOOGLEFINANCE(C59,""Marketcap"")"),24316739838)</f>
        <v>24316739838</v>
      </c>
      <c r="I59" s="9"/>
      <c r="J59" s="14"/>
      <c r="K59" s="13">
        <f ca="1">IFERROR(__xludf.DUMMYFUNCTION("""COMPUTED_VALUE"""),44232.6458333333)</f>
        <v>44232.645833333299</v>
      </c>
      <c r="L59" s="14">
        <f ca="1">IFERROR(__xludf.DUMMYFUNCTION("""COMPUTED_VALUE"""),13758.6)</f>
        <v>13758.6</v>
      </c>
      <c r="M59" s="14">
        <f ca="1">IFERROR(__xludf.DUMMYFUNCTION("""COMPUTED_VALUE"""),15014.65)</f>
        <v>15014.65</v>
      </c>
      <c r="N59" s="14">
        <f ca="1">IFERROR(__xludf.DUMMYFUNCTION("""COMPUTED_VALUE"""),13661.75)</f>
        <v>13661.75</v>
      </c>
      <c r="O59" s="14">
        <f ca="1">IFERROR(__xludf.DUMMYFUNCTION("""COMPUTED_VALUE"""),14924.25)</f>
        <v>14924.25</v>
      </c>
      <c r="P59" s="14">
        <f ca="1">IFERROR(__xludf.DUMMYFUNCTION("""COMPUTED_VALUE"""),0)</f>
        <v>0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4" x14ac:dyDescent="0.3">
      <c r="A60" s="6" t="s">
        <v>144</v>
      </c>
      <c r="B60" s="6" t="s">
        <v>11</v>
      </c>
      <c r="C60" s="7" t="s">
        <v>145</v>
      </c>
      <c r="D60" s="7" t="s">
        <v>13</v>
      </c>
      <c r="E60" s="8">
        <f ca="1">IFERROR(__xludf.DUMMYFUNCTION("GOOGLEFINANCE(C60,""Price"")"),318.5)</f>
        <v>318.5</v>
      </c>
      <c r="F60" s="9">
        <f ca="1">IFERROR(__xludf.DUMMYFUNCTION("GOOGLEFINANCE(C60,""change"")"),-7.65)</f>
        <v>-7.65</v>
      </c>
      <c r="G60" s="10">
        <f ca="1">IFERROR(__xludf.DUMMYFUNCTION("GOOGLEFINANCE(C60,""Changepct"")/100"),-0.0235)</f>
        <v>-2.35E-2</v>
      </c>
      <c r="H60" s="11">
        <f ca="1">IFERROR(__xludf.DUMMYFUNCTION("GOOGLEFINANCE(C60,""Marketcap"")"),66884968150)</f>
        <v>66884968150</v>
      </c>
      <c r="I60" s="9"/>
      <c r="J60" s="14"/>
      <c r="K60" s="13">
        <f ca="1">IFERROR(__xludf.DUMMYFUNCTION("""COMPUTED_VALUE"""),44239.6458333333)</f>
        <v>44239.645833333299</v>
      </c>
      <c r="L60" s="14">
        <f ca="1">IFERROR(__xludf.DUMMYFUNCTION("""COMPUTED_VALUE"""),15064.3)</f>
        <v>15064.3</v>
      </c>
      <c r="M60" s="14">
        <f ca="1">IFERROR(__xludf.DUMMYFUNCTION("""COMPUTED_VALUE"""),15257.1)</f>
        <v>15257.1</v>
      </c>
      <c r="N60" s="14">
        <f ca="1">IFERROR(__xludf.DUMMYFUNCTION("""COMPUTED_VALUE"""),14977.2)</f>
        <v>14977.2</v>
      </c>
      <c r="O60" s="14">
        <f ca="1">IFERROR(__xludf.DUMMYFUNCTION("""COMPUTED_VALUE"""),15163.3)</f>
        <v>15163.3</v>
      </c>
      <c r="P60" s="14">
        <f ca="1">IFERROR(__xludf.DUMMYFUNCTION("""COMPUTED_VALUE"""),0)</f>
        <v>0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4" x14ac:dyDescent="0.3">
      <c r="A61" s="6" t="s">
        <v>146</v>
      </c>
      <c r="B61" s="6" t="s">
        <v>29</v>
      </c>
      <c r="C61" s="7" t="s">
        <v>147</v>
      </c>
      <c r="D61" s="7" t="s">
        <v>22</v>
      </c>
      <c r="E61" s="8">
        <f ca="1">IFERROR(__xludf.DUMMYFUNCTION("GOOGLEFINANCE(C61,""Price"")"),288.4)</f>
        <v>288.39999999999998</v>
      </c>
      <c r="F61" s="9">
        <f ca="1">IFERROR(__xludf.DUMMYFUNCTION("GOOGLEFINANCE(C61,""change"")"),-2.55)</f>
        <v>-2.5499999999999998</v>
      </c>
      <c r="G61" s="10">
        <f ca="1">IFERROR(__xludf.DUMMYFUNCTION("GOOGLEFINANCE(C61,""Changepct"")/100"),-0.0088)</f>
        <v>-8.8000000000000005E-3</v>
      </c>
      <c r="H61" s="11">
        <f ca="1">IFERROR(__xludf.DUMMYFUNCTION("GOOGLEFINANCE(C61,""Marketcap"")"),463453765876)</f>
        <v>463453765876</v>
      </c>
      <c r="I61" s="9"/>
      <c r="J61" s="14"/>
      <c r="K61" s="13">
        <f ca="1">IFERROR(__xludf.DUMMYFUNCTION("""COMPUTED_VALUE"""),44246.6458333333)</f>
        <v>44246.645833333299</v>
      </c>
      <c r="L61" s="14">
        <f ca="1">IFERROR(__xludf.DUMMYFUNCTION("""COMPUTED_VALUE"""),15270.3)</f>
        <v>15270.3</v>
      </c>
      <c r="M61" s="14">
        <f ca="1">IFERROR(__xludf.DUMMYFUNCTION("""COMPUTED_VALUE"""),15431.75)</f>
        <v>15431.75</v>
      </c>
      <c r="N61" s="14">
        <f ca="1">IFERROR(__xludf.DUMMYFUNCTION("""COMPUTED_VALUE"""),14898.2)</f>
        <v>14898.2</v>
      </c>
      <c r="O61" s="14">
        <f ca="1">IFERROR(__xludf.DUMMYFUNCTION("""COMPUTED_VALUE"""),14981.75)</f>
        <v>14981.75</v>
      </c>
      <c r="P61" s="14">
        <f ca="1">IFERROR(__xludf.DUMMYFUNCTION("""COMPUTED_VALUE"""),0)</f>
        <v>0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4" x14ac:dyDescent="0.3">
      <c r="A62" s="6" t="s">
        <v>148</v>
      </c>
      <c r="B62" s="6" t="s">
        <v>29</v>
      </c>
      <c r="C62" s="7" t="s">
        <v>149</v>
      </c>
      <c r="D62" s="7" t="s">
        <v>22</v>
      </c>
      <c r="E62" s="8">
        <f ca="1">IFERROR(__xludf.DUMMYFUNCTION("GOOGLEFINANCE(C62,""Price"")"),77.5)</f>
        <v>77.5</v>
      </c>
      <c r="F62" s="9">
        <f ca="1">IFERROR(__xludf.DUMMYFUNCTION("GOOGLEFINANCE(C62,""change"")"),3.45)</f>
        <v>3.45</v>
      </c>
      <c r="G62" s="10">
        <f ca="1">IFERROR(__xludf.DUMMYFUNCTION("GOOGLEFINANCE(C62,""Changepct"")/100"),0.0466)</f>
        <v>4.6600000000000003E-2</v>
      </c>
      <c r="H62" s="11">
        <f ca="1">IFERROR(__xludf.DUMMYFUNCTION("GOOGLEFINANCE(C62,""Marketcap"")"),400521971118)</f>
        <v>400521971118</v>
      </c>
      <c r="I62" s="9"/>
      <c r="J62" s="14"/>
      <c r="K62" s="13">
        <f ca="1">IFERROR(__xludf.DUMMYFUNCTION("""COMPUTED_VALUE"""),44253.6458333333)</f>
        <v>44253.645833333299</v>
      </c>
      <c r="L62" s="14">
        <f ca="1">IFERROR(__xludf.DUMMYFUNCTION("""COMPUTED_VALUE"""),14999.05)</f>
        <v>14999.05</v>
      </c>
      <c r="M62" s="14">
        <f ca="1">IFERROR(__xludf.DUMMYFUNCTION("""COMPUTED_VALUE"""),15176.5)</f>
        <v>15176.5</v>
      </c>
      <c r="N62" s="14">
        <f ca="1">IFERROR(__xludf.DUMMYFUNCTION("""COMPUTED_VALUE"""),14467.75)</f>
        <v>14467.75</v>
      </c>
      <c r="O62" s="14">
        <f ca="1">IFERROR(__xludf.DUMMYFUNCTION("""COMPUTED_VALUE"""),14529.15)</f>
        <v>14529.15</v>
      </c>
      <c r="P62" s="14">
        <f ca="1">IFERROR(__xludf.DUMMYFUNCTION("""COMPUTED_VALUE"""),0)</f>
        <v>0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4" x14ac:dyDescent="0.3">
      <c r="A63" s="6" t="s">
        <v>150</v>
      </c>
      <c r="B63" s="6" t="s">
        <v>29</v>
      </c>
      <c r="C63" s="7" t="s">
        <v>151</v>
      </c>
      <c r="D63" s="7" t="s">
        <v>13</v>
      </c>
      <c r="E63" s="8">
        <f ca="1">IFERROR(__xludf.DUMMYFUNCTION("GOOGLEFINANCE(C63,""Price"")"),72.7)</f>
        <v>72.7</v>
      </c>
      <c r="F63" s="9">
        <f ca="1">IFERROR(__xludf.DUMMYFUNCTION("GOOGLEFINANCE(C63,""change"")"),3.3)</f>
        <v>3.3</v>
      </c>
      <c r="G63" s="10">
        <f ca="1">IFERROR(__xludf.DUMMYFUNCTION("GOOGLEFINANCE(C63,""Changepct"")/100"),0.0475999999999999)</f>
        <v>4.7599999999999899E-2</v>
      </c>
      <c r="H63" s="11">
        <f ca="1">IFERROR(__xludf.DUMMYFUNCTION("GOOGLEFINANCE(C63,""Marketcap"")"),238732030807)</f>
        <v>238732030807</v>
      </c>
      <c r="I63" s="9"/>
      <c r="J63" s="14"/>
      <c r="K63" s="13">
        <f ca="1">IFERROR(__xludf.DUMMYFUNCTION("""COMPUTED_VALUE"""),44260.6458333333)</f>
        <v>44260.645833333299</v>
      </c>
      <c r="L63" s="14">
        <f ca="1">IFERROR(__xludf.DUMMYFUNCTION("""COMPUTED_VALUE"""),14702.5)</f>
        <v>14702.5</v>
      </c>
      <c r="M63" s="14">
        <f ca="1">IFERROR(__xludf.DUMMYFUNCTION("""COMPUTED_VALUE"""),15273.15)</f>
        <v>15273.15</v>
      </c>
      <c r="N63" s="14">
        <f ca="1">IFERROR(__xludf.DUMMYFUNCTION("""COMPUTED_VALUE"""),14638.55)</f>
        <v>14638.55</v>
      </c>
      <c r="O63" s="14">
        <f ca="1">IFERROR(__xludf.DUMMYFUNCTION("""COMPUTED_VALUE"""),14938.1)</f>
        <v>14938.1</v>
      </c>
      <c r="P63" s="14">
        <f ca="1">IFERROR(__xludf.DUMMYFUNCTION("""COMPUTED_VALUE"""),0)</f>
        <v>0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4" x14ac:dyDescent="0.3">
      <c r="A64" s="6" t="s">
        <v>152</v>
      </c>
      <c r="B64" s="6" t="s">
        <v>29</v>
      </c>
      <c r="C64" s="7" t="s">
        <v>153</v>
      </c>
      <c r="D64" s="7" t="s">
        <v>13</v>
      </c>
      <c r="E64" s="8">
        <f ca="1">IFERROR(__xludf.DUMMYFUNCTION("GOOGLEFINANCE(C64,""Price"")"),25.4)</f>
        <v>25.4</v>
      </c>
      <c r="F64" s="9">
        <f ca="1">IFERROR(__xludf.DUMMYFUNCTION("GOOGLEFINANCE(C64,""change"")"),0.55)</f>
        <v>0.55000000000000004</v>
      </c>
      <c r="G64" s="10">
        <f ca="1">IFERROR(__xludf.DUMMYFUNCTION("GOOGLEFINANCE(C64,""Changepct"")/100"),0.0220999999999999)</f>
        <v>2.2099999999999901E-2</v>
      </c>
      <c r="H64" s="11">
        <f ca="1">IFERROR(__xludf.DUMMYFUNCTION("GOOGLEFINANCE(C64,""Marketcap"")"),165638766105)</f>
        <v>165638766105</v>
      </c>
      <c r="I64" s="9"/>
      <c r="J64" s="14"/>
      <c r="K64" s="13">
        <f ca="1">IFERROR(__xludf.DUMMYFUNCTION("""COMPUTED_VALUE"""),44267.6458333333)</f>
        <v>44267.645833333299</v>
      </c>
      <c r="L64" s="14">
        <f ca="1">IFERROR(__xludf.DUMMYFUNCTION("""COMPUTED_VALUE"""),15002.45)</f>
        <v>15002.45</v>
      </c>
      <c r="M64" s="14">
        <f ca="1">IFERROR(__xludf.DUMMYFUNCTION("""COMPUTED_VALUE"""),15336.3)</f>
        <v>15336.3</v>
      </c>
      <c r="N64" s="14">
        <f ca="1">IFERROR(__xludf.DUMMYFUNCTION("""COMPUTED_VALUE"""),14919.9)</f>
        <v>14919.9</v>
      </c>
      <c r="O64" s="14">
        <f ca="1">IFERROR(__xludf.DUMMYFUNCTION("""COMPUTED_VALUE"""),15030.95)</f>
        <v>15030.95</v>
      </c>
      <c r="P64" s="14">
        <f ca="1">IFERROR(__xludf.DUMMYFUNCTION("""COMPUTED_VALUE"""),0)</f>
        <v>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4" x14ac:dyDescent="0.3">
      <c r="A65" s="6" t="s">
        <v>154</v>
      </c>
      <c r="B65" s="6" t="s">
        <v>11</v>
      </c>
      <c r="C65" s="7" t="s">
        <v>155</v>
      </c>
      <c r="D65" s="7" t="s">
        <v>22</v>
      </c>
      <c r="E65" s="8">
        <f ca="1">IFERROR(__xludf.DUMMYFUNCTION("GOOGLEFINANCE(C65,""Price"")"),1350)</f>
        <v>1350</v>
      </c>
      <c r="F65" s="9">
        <f ca="1">IFERROR(__xludf.DUMMYFUNCTION("GOOGLEFINANCE(C65,""change"")"),-18.45)</f>
        <v>-18.45</v>
      </c>
      <c r="G65" s="10">
        <f ca="1">IFERROR(__xludf.DUMMYFUNCTION("GOOGLEFINANCE(C65,""Changepct"")/100"),-0.0135)</f>
        <v>-1.35E-2</v>
      </c>
      <c r="H65" s="11">
        <f ca="1">IFERROR(__xludf.DUMMYFUNCTION("GOOGLEFINANCE(C65,""Marketcap"")"),173512125000)</f>
        <v>173512125000</v>
      </c>
      <c r="I65" s="9"/>
      <c r="J65" s="14"/>
      <c r="K65" s="13">
        <f ca="1">IFERROR(__xludf.DUMMYFUNCTION("""COMPUTED_VALUE"""),44274.6458333333)</f>
        <v>44274.645833333299</v>
      </c>
      <c r="L65" s="14">
        <f ca="1">IFERROR(__xludf.DUMMYFUNCTION("""COMPUTED_VALUE"""),15048.4)</f>
        <v>15048.4</v>
      </c>
      <c r="M65" s="14">
        <f ca="1">IFERROR(__xludf.DUMMYFUNCTION("""COMPUTED_VALUE"""),15051.6)</f>
        <v>15051.6</v>
      </c>
      <c r="N65" s="14">
        <f ca="1">IFERROR(__xludf.DUMMYFUNCTION("""COMPUTED_VALUE"""),14350.1)</f>
        <v>14350.1</v>
      </c>
      <c r="O65" s="14">
        <f ca="1">IFERROR(__xludf.DUMMYFUNCTION("""COMPUTED_VALUE"""),14744)</f>
        <v>14744</v>
      </c>
      <c r="P65" s="14">
        <f ca="1">IFERROR(__xludf.DUMMYFUNCTION("""COMPUTED_VALUE"""),0)</f>
        <v>0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4" x14ac:dyDescent="0.3">
      <c r="A66" s="6" t="s">
        <v>156</v>
      </c>
      <c r="B66" s="6" t="s">
        <v>157</v>
      </c>
      <c r="C66" s="7" t="s">
        <v>158</v>
      </c>
      <c r="D66" s="7" t="s">
        <v>13</v>
      </c>
      <c r="E66" s="8">
        <f ca="1">IFERROR(__xludf.DUMMYFUNCTION("GOOGLEFINANCE(C66,""Price"")"),5490)</f>
        <v>5490</v>
      </c>
      <c r="F66" s="9">
        <f ca="1">IFERROR(__xludf.DUMMYFUNCTION("GOOGLEFINANCE(C66,""change"")"),39.05)</f>
        <v>39.049999999999997</v>
      </c>
      <c r="G66" s="10">
        <f ca="1">IFERROR(__xludf.DUMMYFUNCTION("GOOGLEFINANCE(C66,""Changepct"")/100"),0.0072)</f>
        <v>7.1999999999999998E-3</v>
      </c>
      <c r="H66" s="11">
        <f ca="1">IFERROR(__xludf.DUMMYFUNCTION("GOOGLEFINANCE(C66,""Marketcap"")"),246732074100)</f>
        <v>246732074100</v>
      </c>
      <c r="I66" s="9"/>
      <c r="J66" s="14"/>
      <c r="K66" s="13">
        <f ca="1">IFERROR(__xludf.DUMMYFUNCTION("""COMPUTED_VALUE"""),44281.6458333333)</f>
        <v>44281.645833333299</v>
      </c>
      <c r="L66" s="14">
        <f ca="1">IFERROR(__xludf.DUMMYFUNCTION("""COMPUTED_VALUE"""),14736.3)</f>
        <v>14736.3</v>
      </c>
      <c r="M66" s="14">
        <f ca="1">IFERROR(__xludf.DUMMYFUNCTION("""COMPUTED_VALUE"""),14878.6)</f>
        <v>14878.6</v>
      </c>
      <c r="N66" s="14">
        <f ca="1">IFERROR(__xludf.DUMMYFUNCTION("""COMPUTED_VALUE"""),14264.4)</f>
        <v>14264.4</v>
      </c>
      <c r="O66" s="14">
        <f ca="1">IFERROR(__xludf.DUMMYFUNCTION("""COMPUTED_VALUE"""),14507.3)</f>
        <v>14507.3</v>
      </c>
      <c r="P66" s="14">
        <f ca="1">IFERROR(__xludf.DUMMYFUNCTION("""COMPUTED_VALUE"""),0)</f>
        <v>0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4" x14ac:dyDescent="0.3">
      <c r="A67" s="6" t="s">
        <v>159</v>
      </c>
      <c r="B67" s="6" t="s">
        <v>11</v>
      </c>
      <c r="C67" s="7" t="s">
        <v>160</v>
      </c>
      <c r="D67" s="7" t="s">
        <v>22</v>
      </c>
      <c r="E67" s="8">
        <f ca="1">IFERROR(__xludf.DUMMYFUNCTION("GOOGLEFINANCE(C67,""Price"")"),731)</f>
        <v>731</v>
      </c>
      <c r="F67" s="9">
        <f ca="1">IFERROR(__xludf.DUMMYFUNCTION("GOOGLEFINANCE(C67,""change"")"),-4.95)</f>
        <v>-4.95</v>
      </c>
      <c r="G67" s="10">
        <f ca="1">IFERROR(__xludf.DUMMYFUNCTION("GOOGLEFINANCE(C67,""Changepct"")/100"),-0.0067)</f>
        <v>-6.7000000000000002E-3</v>
      </c>
      <c r="H67" s="11">
        <f ca="1">IFERROR(__xludf.DUMMYFUNCTION("GOOGLEFINANCE(C67,""Marketcap"")"),713124701864)</f>
        <v>713124701864</v>
      </c>
      <c r="I67" s="9"/>
      <c r="J67" s="14"/>
      <c r="K67" s="13">
        <f ca="1">IFERROR(__xludf.DUMMYFUNCTION("""COMPUTED_VALUE"""),44287.6458333333)</f>
        <v>44287.645833333299</v>
      </c>
      <c r="L67" s="14">
        <f ca="1">IFERROR(__xludf.DUMMYFUNCTION("""COMPUTED_VALUE"""),14628.5)</f>
        <v>14628.5</v>
      </c>
      <c r="M67" s="14">
        <f ca="1">IFERROR(__xludf.DUMMYFUNCTION("""COMPUTED_VALUE"""),14883.2)</f>
        <v>14883.2</v>
      </c>
      <c r="N67" s="14">
        <f ca="1">IFERROR(__xludf.DUMMYFUNCTION("""COMPUTED_VALUE"""),14617.6)</f>
        <v>14617.6</v>
      </c>
      <c r="O67" s="14">
        <f ca="1">IFERROR(__xludf.DUMMYFUNCTION("""COMPUTED_VALUE"""),14867.35)</f>
        <v>14867.35</v>
      </c>
      <c r="P67" s="14">
        <f ca="1">IFERROR(__xludf.DUMMYFUNCTION("""COMPUTED_VALUE"""),0)</f>
        <v>0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4" x14ac:dyDescent="0.3">
      <c r="A68" s="6" t="s">
        <v>161</v>
      </c>
      <c r="B68" s="6" t="s">
        <v>15</v>
      </c>
      <c r="C68" s="7" t="s">
        <v>162</v>
      </c>
      <c r="D68" s="7" t="s">
        <v>13</v>
      </c>
      <c r="E68" s="8">
        <f ca="1">IFERROR(__xludf.DUMMYFUNCTION("GOOGLEFINANCE(C68,""Price"")"),348.8)</f>
        <v>348.8</v>
      </c>
      <c r="F68" s="9">
        <f ca="1">IFERROR(__xludf.DUMMYFUNCTION("GOOGLEFINANCE(C68,""change"")"),-9.8)</f>
        <v>-9.8000000000000007</v>
      </c>
      <c r="G68" s="10">
        <f ca="1">IFERROR(__xludf.DUMMYFUNCTION("GOOGLEFINANCE(C68,""Changepct"")/100"),-0.0273)</f>
        <v>-2.7300000000000001E-2</v>
      </c>
      <c r="H68" s="11">
        <f ca="1">IFERROR(__xludf.DUMMYFUNCTION("GOOGLEFINANCE(C68,""Marketcap"")"),63953243559)</f>
        <v>63953243559</v>
      </c>
      <c r="I68" s="9"/>
      <c r="J68" s="14"/>
      <c r="K68" s="13">
        <f ca="1">IFERROR(__xludf.DUMMYFUNCTION("""COMPUTED_VALUE"""),44295.6458333333)</f>
        <v>44295.645833333299</v>
      </c>
      <c r="L68" s="14">
        <f ca="1">IFERROR(__xludf.DUMMYFUNCTION("""COMPUTED_VALUE"""),14837.7)</f>
        <v>14837.7</v>
      </c>
      <c r="M68" s="14">
        <f ca="1">IFERROR(__xludf.DUMMYFUNCTION("""COMPUTED_VALUE"""),14984.15)</f>
        <v>14984.15</v>
      </c>
      <c r="N68" s="14">
        <f ca="1">IFERROR(__xludf.DUMMYFUNCTION("""COMPUTED_VALUE"""),14459.5)</f>
        <v>14459.5</v>
      </c>
      <c r="O68" s="14">
        <f ca="1">IFERROR(__xludf.DUMMYFUNCTION("""COMPUTED_VALUE"""),14834.85)</f>
        <v>14834.85</v>
      </c>
      <c r="P68" s="14">
        <f ca="1">IFERROR(__xludf.DUMMYFUNCTION("""COMPUTED_VALUE"""),0)</f>
        <v>0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4" x14ac:dyDescent="0.3">
      <c r="A69" s="6" t="s">
        <v>163</v>
      </c>
      <c r="B69" s="6" t="s">
        <v>15</v>
      </c>
      <c r="C69" s="7" t="s">
        <v>164</v>
      </c>
      <c r="D69" s="7" t="s">
        <v>22</v>
      </c>
      <c r="E69" s="8">
        <f ca="1">IFERROR(__xludf.DUMMYFUNCTION("GOOGLEFINANCE(C69,""Price"")"),146.25)</f>
        <v>146.25</v>
      </c>
      <c r="F69" s="9">
        <f ca="1">IFERROR(__xludf.DUMMYFUNCTION("GOOGLEFINANCE(C69,""change"")"),-2.3)</f>
        <v>-2.2999999999999998</v>
      </c>
      <c r="G69" s="10">
        <f ca="1">IFERROR(__xludf.DUMMYFUNCTION("GOOGLEFINANCE(C69,""Changepct"")/100"),-0.0155)</f>
        <v>-1.55E-2</v>
      </c>
      <c r="H69" s="11">
        <f ca="1">IFERROR(__xludf.DUMMYFUNCTION("GOOGLEFINANCE(C69,""Marketcap"")"),357207597669)</f>
        <v>357207597669</v>
      </c>
      <c r="I69" s="9"/>
      <c r="J69" s="14"/>
      <c r="K69" s="13">
        <f ca="1">IFERROR(__xludf.DUMMYFUNCTION("""COMPUTED_VALUE"""),44302.6458333333)</f>
        <v>44302.645833333299</v>
      </c>
      <c r="L69" s="14">
        <f ca="1">IFERROR(__xludf.DUMMYFUNCTION("""COMPUTED_VALUE"""),14644.65)</f>
        <v>14644.65</v>
      </c>
      <c r="M69" s="14">
        <f ca="1">IFERROR(__xludf.DUMMYFUNCTION("""COMPUTED_VALUE"""),14697.7)</f>
        <v>14697.7</v>
      </c>
      <c r="N69" s="14">
        <f ca="1">IFERROR(__xludf.DUMMYFUNCTION("""COMPUTED_VALUE"""),14248.7)</f>
        <v>14248.7</v>
      </c>
      <c r="O69" s="14">
        <f ca="1">IFERROR(__xludf.DUMMYFUNCTION("""COMPUTED_VALUE"""),14617.85)</f>
        <v>14617.85</v>
      </c>
      <c r="P69" s="14">
        <f ca="1">IFERROR(__xludf.DUMMYFUNCTION("""COMPUTED_VALUE"""),0)</f>
        <v>0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4" x14ac:dyDescent="0.3">
      <c r="A70" s="6" t="s">
        <v>165</v>
      </c>
      <c r="B70" s="6" t="s">
        <v>15</v>
      </c>
      <c r="C70" s="7" t="s">
        <v>166</v>
      </c>
      <c r="D70" s="7" t="s">
        <v>22</v>
      </c>
      <c r="E70" s="8">
        <f ca="1">IFERROR(__xludf.DUMMYFUNCTION("GOOGLEFINANCE(C70,""Price"")"),663.5)</f>
        <v>663.5</v>
      </c>
      <c r="F70" s="9">
        <f ca="1">IFERROR(__xludf.DUMMYFUNCTION("GOOGLEFINANCE(C70,""change"")"),-4.75)</f>
        <v>-4.75</v>
      </c>
      <c r="G70" s="10">
        <f ca="1">IFERROR(__xludf.DUMMYFUNCTION("GOOGLEFINANCE(C70,""Changepct"")/100"),-0.00709999999999999)</f>
        <v>-7.09999999999999E-3</v>
      </c>
      <c r="H70" s="11">
        <f ca="1">IFERROR(__xludf.DUMMYFUNCTION("GOOGLEFINANCE(C70,""Marketcap"")"),308918036100)</f>
        <v>308918036100</v>
      </c>
      <c r="I70" s="9"/>
      <c r="J70" s="14"/>
      <c r="K70" s="13">
        <f ca="1">IFERROR(__xludf.DUMMYFUNCTION("""COMPUTED_VALUE"""),44309.6458333333)</f>
        <v>44309.645833333299</v>
      </c>
      <c r="L70" s="14">
        <f ca="1">IFERROR(__xludf.DUMMYFUNCTION("""COMPUTED_VALUE"""),14306.6)</f>
        <v>14306.6</v>
      </c>
      <c r="M70" s="14">
        <f ca="1">IFERROR(__xludf.DUMMYFUNCTION("""COMPUTED_VALUE"""),14526.95)</f>
        <v>14526.95</v>
      </c>
      <c r="N70" s="14">
        <f ca="1">IFERROR(__xludf.DUMMYFUNCTION("""COMPUTED_VALUE"""),14151.4)</f>
        <v>14151.4</v>
      </c>
      <c r="O70" s="14">
        <f ca="1">IFERROR(__xludf.DUMMYFUNCTION("""COMPUTED_VALUE"""),14341.35)</f>
        <v>14341.35</v>
      </c>
      <c r="P70" s="14">
        <f ca="1">IFERROR(__xludf.DUMMYFUNCTION("""COMPUTED_VALUE"""),0)</f>
        <v>0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4" x14ac:dyDescent="0.3">
      <c r="A71" s="6" t="s">
        <v>167</v>
      </c>
      <c r="B71" s="6" t="s">
        <v>15</v>
      </c>
      <c r="C71" s="7" t="s">
        <v>168</v>
      </c>
      <c r="D71" s="7" t="s">
        <v>22</v>
      </c>
      <c r="E71" s="8">
        <f ca="1">IFERROR(__xludf.DUMMYFUNCTION("GOOGLEFINANCE(C71,""Price"")"),71.55)</f>
        <v>71.55</v>
      </c>
      <c r="F71" s="9">
        <f ca="1">IFERROR(__xludf.DUMMYFUNCTION("GOOGLEFINANCE(C71,""change"")"),-1.9)</f>
        <v>-1.9</v>
      </c>
      <c r="G71" s="10">
        <f ca="1">IFERROR(__xludf.DUMMYFUNCTION("GOOGLEFINANCE(C71,""Changepct"")/100"),-0.0259)</f>
        <v>-2.5899999999999999E-2</v>
      </c>
      <c r="H71" s="11">
        <f ca="1">IFERROR(__xludf.DUMMYFUNCTION("GOOGLEFINANCE(C71,""Marketcap"")"),248783816829)</f>
        <v>248783816829</v>
      </c>
      <c r="I71" s="9"/>
      <c r="J71" s="14"/>
      <c r="K71" s="13">
        <f ca="1">IFERROR(__xludf.DUMMYFUNCTION("""COMPUTED_VALUE"""),44316.6458333333)</f>
        <v>44316.645833333299</v>
      </c>
      <c r="L71" s="14">
        <f ca="1">IFERROR(__xludf.DUMMYFUNCTION("""COMPUTED_VALUE"""),14449.45)</f>
        <v>14449.45</v>
      </c>
      <c r="M71" s="14">
        <f ca="1">IFERROR(__xludf.DUMMYFUNCTION("""COMPUTED_VALUE"""),15044.35)</f>
        <v>15044.35</v>
      </c>
      <c r="N71" s="14">
        <f ca="1">IFERROR(__xludf.DUMMYFUNCTION("""COMPUTED_VALUE"""),14421.3)</f>
        <v>14421.3</v>
      </c>
      <c r="O71" s="14">
        <f ca="1">IFERROR(__xludf.DUMMYFUNCTION("""COMPUTED_VALUE"""),14631.1)</f>
        <v>14631.1</v>
      </c>
      <c r="P71" s="14">
        <f ca="1">IFERROR(__xludf.DUMMYFUNCTION("""COMPUTED_VALUE"""),0)</f>
        <v>0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4" x14ac:dyDescent="0.3">
      <c r="A72" s="6" t="s">
        <v>169</v>
      </c>
      <c r="B72" s="6" t="s">
        <v>50</v>
      </c>
      <c r="C72" s="7" t="s">
        <v>170</v>
      </c>
      <c r="D72" s="7" t="s">
        <v>22</v>
      </c>
      <c r="E72" s="8">
        <f ca="1">IFERROR(__xludf.DUMMYFUNCTION("GOOGLEFINANCE(C72,""Price"")"),448)</f>
        <v>448</v>
      </c>
      <c r="F72" s="9">
        <f ca="1">IFERROR(__xludf.DUMMYFUNCTION("GOOGLEFINANCE(C72,""change"")"),-14.25)</f>
        <v>-14.25</v>
      </c>
      <c r="G72" s="10">
        <f ca="1">IFERROR(__xludf.DUMMYFUNCTION("GOOGLEFINANCE(C72,""Changepct"")/100"),-0.0308)</f>
        <v>-3.0800000000000001E-2</v>
      </c>
      <c r="H72" s="11">
        <f ca="1">IFERROR(__xludf.DUMMYFUNCTION("GOOGLEFINANCE(C72,""Marketcap"")"),955252125559)</f>
        <v>955252125559</v>
      </c>
      <c r="I72" s="9"/>
      <c r="J72" s="14"/>
      <c r="K72" s="13">
        <f ca="1">IFERROR(__xludf.DUMMYFUNCTION("""COMPUTED_VALUE"""),44323.6458333333)</f>
        <v>44323.645833333299</v>
      </c>
      <c r="L72" s="14">
        <f ca="1">IFERROR(__xludf.DUMMYFUNCTION("""COMPUTED_VALUE"""),14481.05)</f>
        <v>14481.05</v>
      </c>
      <c r="M72" s="14">
        <f ca="1">IFERROR(__xludf.DUMMYFUNCTION("""COMPUTED_VALUE"""),14863.05)</f>
        <v>14863.05</v>
      </c>
      <c r="N72" s="14">
        <f ca="1">IFERROR(__xludf.DUMMYFUNCTION("""COMPUTED_VALUE"""),14416.25)</f>
        <v>14416.25</v>
      </c>
      <c r="O72" s="14">
        <f ca="1">IFERROR(__xludf.DUMMYFUNCTION("""COMPUTED_VALUE"""),14823.15)</f>
        <v>14823.15</v>
      </c>
      <c r="P72" s="14">
        <f ca="1">IFERROR(__xludf.DUMMYFUNCTION("""COMPUTED_VALUE"""),0)</f>
        <v>0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4" x14ac:dyDescent="0.3">
      <c r="A73" s="6" t="s">
        <v>171</v>
      </c>
      <c r="B73" s="6" t="s">
        <v>157</v>
      </c>
      <c r="C73" s="7" t="s">
        <v>172</v>
      </c>
      <c r="D73" s="7" t="s">
        <v>13</v>
      </c>
      <c r="E73" s="8">
        <f ca="1">IFERROR(__xludf.DUMMYFUNCTION("GOOGLEFINANCE(C73,""Price"")"),12800)</f>
        <v>12800</v>
      </c>
      <c r="F73" s="9">
        <f ca="1">IFERROR(__xludf.DUMMYFUNCTION("GOOGLEFINANCE(C73,""change"")"),-371.9)</f>
        <v>-371.9</v>
      </c>
      <c r="G73" s="10">
        <f ca="1">IFERROR(__xludf.DUMMYFUNCTION("GOOGLEFINANCE(C73,""Changepct"")/100"),-0.0282)</f>
        <v>-2.8199999999999999E-2</v>
      </c>
      <c r="H73" s="11">
        <f ca="1">IFERROR(__xludf.DUMMYFUNCTION("GOOGLEFINANCE(C73,""Marketcap"")"),54688224539)</f>
        <v>54688224539</v>
      </c>
      <c r="I73" s="9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4" x14ac:dyDescent="0.3">
      <c r="A74" s="6" t="s">
        <v>173</v>
      </c>
      <c r="B74" s="6" t="s">
        <v>174</v>
      </c>
      <c r="C74" s="7" t="s">
        <v>175</v>
      </c>
      <c r="D74" s="7" t="s">
        <v>22</v>
      </c>
      <c r="E74" s="8">
        <f ca="1">IFERROR(__xludf.DUMMYFUNCTION("GOOGLEFINANCE(C74,""Price"")"),562)</f>
        <v>562</v>
      </c>
      <c r="F74" s="9">
        <f ca="1">IFERROR(__xludf.DUMMYFUNCTION("GOOGLEFINANCE(C74,""change"")"),-6.4)</f>
        <v>-6.4</v>
      </c>
      <c r="G74" s="10">
        <f ca="1">IFERROR(__xludf.DUMMYFUNCTION("GOOGLEFINANCE(C74,""Changepct"")/100"),-0.0113)</f>
        <v>-1.1299999999999999E-2</v>
      </c>
      <c r="H74" s="11">
        <f ca="1">IFERROR(__xludf.DUMMYFUNCTION("GOOGLEFINANCE(C74,""Marketcap"")"),3084624630975)</f>
        <v>3084624630975</v>
      </c>
      <c r="I74" s="9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4" x14ac:dyDescent="0.3">
      <c r="A75" s="6" t="s">
        <v>176</v>
      </c>
      <c r="B75" s="6" t="s">
        <v>32</v>
      </c>
      <c r="C75" s="7" t="s">
        <v>177</v>
      </c>
      <c r="D75" s="7" t="s">
        <v>22</v>
      </c>
      <c r="E75" s="8">
        <f ca="1">IFERROR(__xludf.DUMMYFUNCTION("GOOGLEFINANCE(C75,""Price"")"),385.8)</f>
        <v>385.8</v>
      </c>
      <c r="F75" s="9">
        <f ca="1">IFERROR(__xludf.DUMMYFUNCTION("GOOGLEFINANCE(C75,""change"")"),-1.85)</f>
        <v>-1.85</v>
      </c>
      <c r="G75" s="10">
        <f ca="1">IFERROR(__xludf.DUMMYFUNCTION("GOOGLEFINANCE(C75,""Changepct"")/100"),-0.0048)</f>
        <v>-4.7999999999999996E-3</v>
      </c>
      <c r="H75" s="11">
        <f ca="1">IFERROR(__xludf.DUMMYFUNCTION("GOOGLEFINANCE(C75,""Marketcap"")"),458406700140)</f>
        <v>458406700140</v>
      </c>
      <c r="I75" s="9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4" x14ac:dyDescent="0.3">
      <c r="A76" s="6" t="s">
        <v>178</v>
      </c>
      <c r="B76" s="6" t="s">
        <v>20</v>
      </c>
      <c r="C76" s="7" t="s">
        <v>179</v>
      </c>
      <c r="D76" s="7" t="s">
        <v>13</v>
      </c>
      <c r="E76" s="8">
        <f ca="1">IFERROR(__xludf.DUMMYFUNCTION("GOOGLEFINANCE(C76,""Price"")"),1042.2)</f>
        <v>1042.2</v>
      </c>
      <c r="F76" s="9">
        <f ca="1">IFERROR(__xludf.DUMMYFUNCTION("GOOGLEFINANCE(C76,""change"")"),46.8)</f>
        <v>46.8</v>
      </c>
      <c r="G76" s="10">
        <f ca="1">IFERROR(__xludf.DUMMYFUNCTION("GOOGLEFINANCE(C76,""Changepct"")/100"),0.047)</f>
        <v>4.7E-2</v>
      </c>
      <c r="H76" s="11">
        <f ca="1">IFERROR(__xludf.DUMMYFUNCTION("GOOGLEFINANCE(C76,""Marketcap"")"),80254972009)</f>
        <v>80254972009</v>
      </c>
      <c r="I76" s="9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4" x14ac:dyDescent="0.3">
      <c r="A77" s="6" t="s">
        <v>180</v>
      </c>
      <c r="B77" s="6" t="s">
        <v>64</v>
      </c>
      <c r="C77" s="7" t="s">
        <v>181</v>
      </c>
      <c r="D77" s="7" t="s">
        <v>13</v>
      </c>
      <c r="E77" s="8">
        <f ca="1">IFERROR(__xludf.DUMMYFUNCTION("GOOGLEFINANCE(C77,""Price"")"),254)</f>
        <v>254</v>
      </c>
      <c r="F77" s="9">
        <f ca="1">IFERROR(__xludf.DUMMYFUNCTION("GOOGLEFINANCE(C77,""change"")"),-1.85)</f>
        <v>-1.85</v>
      </c>
      <c r="G77" s="10">
        <f ca="1">IFERROR(__xludf.DUMMYFUNCTION("GOOGLEFINANCE(C77,""Changepct"")/100"),-0.0072)</f>
        <v>-7.1999999999999998E-3</v>
      </c>
      <c r="H77" s="11">
        <f ca="1">IFERROR(__xludf.DUMMYFUNCTION("GOOGLEFINANCE(C77,""Marketcap"")"),70281495200)</f>
        <v>70281495200</v>
      </c>
      <c r="I77" s="9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4" x14ac:dyDescent="0.3">
      <c r="A78" s="6" t="s">
        <v>182</v>
      </c>
      <c r="B78" s="6" t="s">
        <v>32</v>
      </c>
      <c r="C78" s="7" t="s">
        <v>183</v>
      </c>
      <c r="D78" s="7" t="s">
        <v>13</v>
      </c>
      <c r="E78" s="8">
        <f ca="1">IFERROR(__xludf.DUMMYFUNCTION("GOOGLEFINANCE(C78,""Price"")"),117)</f>
        <v>117</v>
      </c>
      <c r="F78" s="9">
        <f ca="1">IFERROR(__xludf.DUMMYFUNCTION("GOOGLEFINANCE(C78,""change"")"),-11.1)</f>
        <v>-11.1</v>
      </c>
      <c r="G78" s="10">
        <f ca="1">IFERROR(__xludf.DUMMYFUNCTION("GOOGLEFINANCE(C78,""Changepct"")/100"),-0.0867)</f>
        <v>-8.6699999999999999E-2</v>
      </c>
      <c r="H78" s="11">
        <f ca="1">IFERROR(__xludf.DUMMYFUNCTION("GOOGLEFINANCE(C78,""Marketcap"")"),12006739965)</f>
        <v>12006739965</v>
      </c>
      <c r="I78" s="9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4" x14ac:dyDescent="0.3">
      <c r="A79" s="6" t="s">
        <v>184</v>
      </c>
      <c r="B79" s="6" t="s">
        <v>47</v>
      </c>
      <c r="C79" s="7" t="s">
        <v>185</v>
      </c>
      <c r="D79" s="7" t="s">
        <v>13</v>
      </c>
      <c r="E79" s="8">
        <f ca="1">IFERROR(__xludf.DUMMYFUNCTION("GOOGLEFINANCE(C79,""Price"")"),5349)</f>
        <v>5349</v>
      </c>
      <c r="F79" s="9">
        <f ca="1">IFERROR(__xludf.DUMMYFUNCTION("GOOGLEFINANCE(C79,""change"")"),-75.4)</f>
        <v>-75.400000000000006</v>
      </c>
      <c r="G79" s="10">
        <f ca="1">IFERROR(__xludf.DUMMYFUNCTION("GOOGLEFINANCE(C79,""Changepct"")/100"),-0.0139)</f>
        <v>-1.3899999999999999E-2</v>
      </c>
      <c r="H79" s="11">
        <f ca="1">IFERROR(__xludf.DUMMYFUNCTION("GOOGLEFINANCE(C79,""Marketcap"")"),126971535527)</f>
        <v>126971535527</v>
      </c>
      <c r="I79" s="9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4" x14ac:dyDescent="0.3">
      <c r="A80" s="6" t="s">
        <v>186</v>
      </c>
      <c r="B80" s="6" t="s">
        <v>11</v>
      </c>
      <c r="C80" s="7" t="s">
        <v>187</v>
      </c>
      <c r="D80" s="7" t="s">
        <v>13</v>
      </c>
      <c r="E80" s="8">
        <f ca="1">IFERROR(__xludf.DUMMYFUNCTION("GOOGLEFINANCE(C80,""Price"")"),820)</f>
        <v>820</v>
      </c>
      <c r="F80" s="9">
        <f ca="1">IFERROR(__xludf.DUMMYFUNCTION("GOOGLEFINANCE(C80,""change"")"),-0.8)</f>
        <v>-0.8</v>
      </c>
      <c r="G80" s="10">
        <f ca="1">IFERROR(__xludf.DUMMYFUNCTION("GOOGLEFINANCE(C80,""Changepct"")/100"),-0.001)</f>
        <v>-1E-3</v>
      </c>
      <c r="H80" s="11">
        <f ca="1">IFERROR(__xludf.DUMMYFUNCTION("GOOGLEFINANCE(C80,""Marketcap"")"),79010905400)</f>
        <v>79010905400</v>
      </c>
      <c r="I80" s="9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4" x14ac:dyDescent="0.3">
      <c r="A81" s="6" t="s">
        <v>188</v>
      </c>
      <c r="B81" s="6" t="s">
        <v>11</v>
      </c>
      <c r="C81" s="7" t="s">
        <v>189</v>
      </c>
      <c r="D81" s="7" t="s">
        <v>13</v>
      </c>
      <c r="E81" s="8">
        <f ca="1">IFERROR(__xludf.DUMMYFUNCTION("GOOGLEFINANCE(C81,""Price"")"),1198.7)</f>
        <v>1198.7</v>
      </c>
      <c r="F81" s="9">
        <f ca="1">IFERROR(__xludf.DUMMYFUNCTION("GOOGLEFINANCE(C81,""change"")"),25.45)</f>
        <v>25.45</v>
      </c>
      <c r="G81" s="10">
        <f ca="1">IFERROR(__xludf.DUMMYFUNCTION("GOOGLEFINANCE(C81,""Changepct"")/100"),0.0217)</f>
        <v>2.1700000000000001E-2</v>
      </c>
      <c r="H81" s="11">
        <f ca="1">IFERROR(__xludf.DUMMYFUNCTION("GOOGLEFINANCE(C81,""Marketcap"")"),83507329537)</f>
        <v>83507329537</v>
      </c>
      <c r="I81" s="9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4" x14ac:dyDescent="0.3">
      <c r="A82" s="6" t="s">
        <v>190</v>
      </c>
      <c r="B82" s="6" t="s">
        <v>82</v>
      </c>
      <c r="C82" s="7" t="s">
        <v>191</v>
      </c>
      <c r="D82" s="7" t="s">
        <v>22</v>
      </c>
      <c r="E82" s="8">
        <f ca="1">IFERROR(__xludf.DUMMYFUNCTION("GOOGLEFINANCE(C82,""Price"")"),14307)</f>
        <v>14307</v>
      </c>
      <c r="F82" s="9">
        <f ca="1">IFERROR(__xludf.DUMMYFUNCTION("GOOGLEFINANCE(C82,""change"")"),102.4)</f>
        <v>102.4</v>
      </c>
      <c r="G82" s="10">
        <f ca="1">IFERROR(__xludf.DUMMYFUNCTION("GOOGLEFINANCE(C82,""Changepct"")/100"),0.0072)</f>
        <v>7.1999999999999998E-3</v>
      </c>
      <c r="H82" s="11">
        <f ca="1">IFERROR(__xludf.DUMMYFUNCTION("GOOGLEFINANCE(C82,""Marketcap"")"),420275914680)</f>
        <v>420275914680</v>
      </c>
      <c r="I82" s="9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4" x14ac:dyDescent="0.3">
      <c r="A83" s="6" t="s">
        <v>192</v>
      </c>
      <c r="B83" s="6" t="s">
        <v>100</v>
      </c>
      <c r="C83" s="7" t="s">
        <v>193</v>
      </c>
      <c r="D83" s="7" t="s">
        <v>13</v>
      </c>
      <c r="E83" s="8">
        <f ca="1">IFERROR(__xludf.DUMMYFUNCTION("GOOGLEFINANCE(C83,""Price"")"),249.55)</f>
        <v>249.55</v>
      </c>
      <c r="F83" s="9">
        <f ca="1">IFERROR(__xludf.DUMMYFUNCTION("GOOGLEFINANCE(C83,""change"")"),3.45)</f>
        <v>3.45</v>
      </c>
      <c r="G83" s="10">
        <f ca="1">IFERROR(__xludf.DUMMYFUNCTION("GOOGLEFINANCE(C83,""Changepct"")/100"),0.0139999999999999)</f>
        <v>1.39999999999999E-2</v>
      </c>
      <c r="H83" s="11">
        <f ca="1">IFERROR(__xludf.DUMMYFUNCTION("GOOGLEFINANCE(C83,""Marketcap"")"),52633489523)</f>
        <v>52633489523</v>
      </c>
      <c r="I83" s="9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4" x14ac:dyDescent="0.3">
      <c r="A84" s="6" t="s">
        <v>194</v>
      </c>
      <c r="B84" s="6" t="s">
        <v>11</v>
      </c>
      <c r="C84" s="7" t="s">
        <v>195</v>
      </c>
      <c r="D84" s="7" t="s">
        <v>22</v>
      </c>
      <c r="E84" s="8">
        <f ca="1">IFERROR(__xludf.DUMMYFUNCTION("GOOGLEFINANCE(C84,""Price"")"),3438.2)</f>
        <v>3438.2</v>
      </c>
      <c r="F84" s="9">
        <f ca="1">IFERROR(__xludf.DUMMYFUNCTION("GOOGLEFINANCE(C84,""change"")"),19.8)</f>
        <v>19.8</v>
      </c>
      <c r="G84" s="10">
        <f ca="1">IFERROR(__xludf.DUMMYFUNCTION("GOOGLEFINANCE(C84,""Changepct"")/100"),0.0058)</f>
        <v>5.7999999999999996E-3</v>
      </c>
      <c r="H84" s="11">
        <f ca="1">IFERROR(__xludf.DUMMYFUNCTION("GOOGLEFINANCE(C84,""Marketcap"")"),828309611979)</f>
        <v>828309611979</v>
      </c>
      <c r="I84" s="9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4" x14ac:dyDescent="0.3">
      <c r="A85" s="6" t="s">
        <v>196</v>
      </c>
      <c r="B85" s="6" t="s">
        <v>57</v>
      </c>
      <c r="C85" s="7" t="s">
        <v>197</v>
      </c>
      <c r="D85" s="7" t="s">
        <v>13</v>
      </c>
      <c r="E85" s="8">
        <f ca="1">IFERROR(__xludf.DUMMYFUNCTION("GOOGLEFINANCE(C85,""Price"")"),130.25)</f>
        <v>130.25</v>
      </c>
      <c r="F85" s="9">
        <f ca="1">IFERROR(__xludf.DUMMYFUNCTION("GOOGLEFINANCE(C85,""change"")"),1.25)</f>
        <v>1.25</v>
      </c>
      <c r="G85" s="10">
        <f ca="1">IFERROR(__xludf.DUMMYFUNCTION("GOOGLEFINANCE(C85,""Changepct"")/100"),0.0097)</f>
        <v>9.7000000000000003E-3</v>
      </c>
      <c r="H85" s="11">
        <f ca="1">IFERROR(__xludf.DUMMYFUNCTION("GOOGLEFINANCE(C85,""Marketcap"")"),49844792602)</f>
        <v>49844792602</v>
      </c>
      <c r="I85" s="9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4" x14ac:dyDescent="0.3">
      <c r="A86" s="6" t="s">
        <v>198</v>
      </c>
      <c r="B86" s="6" t="s">
        <v>11</v>
      </c>
      <c r="C86" s="7" t="s">
        <v>199</v>
      </c>
      <c r="D86" s="7" t="s">
        <v>13</v>
      </c>
      <c r="E86" s="8">
        <f ca="1">IFERROR(__xludf.DUMMYFUNCTION("GOOGLEFINANCE(C86,""Price"")"),300.9)</f>
        <v>300.89999999999998</v>
      </c>
      <c r="F86" s="9">
        <f ca="1">IFERROR(__xludf.DUMMYFUNCTION("GOOGLEFINANCE(C86,""change"")"),-17.8)</f>
        <v>-17.8</v>
      </c>
      <c r="G86" s="10">
        <f ca="1">IFERROR(__xludf.DUMMYFUNCTION("GOOGLEFINANCE(C86,""Changepct"")/100"),-0.0559)</f>
        <v>-5.5899999999999998E-2</v>
      </c>
      <c r="H86" s="11">
        <f ca="1">IFERROR(__xludf.DUMMYFUNCTION("GOOGLEFINANCE(C86,""Marketcap"")"),39826122932)</f>
        <v>39826122932</v>
      </c>
      <c r="I86" s="9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4" x14ac:dyDescent="0.3">
      <c r="A87" s="6" t="s">
        <v>200</v>
      </c>
      <c r="B87" s="6" t="s">
        <v>44</v>
      </c>
      <c r="C87" s="7" t="s">
        <v>201</v>
      </c>
      <c r="D87" s="7" t="s">
        <v>13</v>
      </c>
      <c r="E87" s="8">
        <f ca="1">IFERROR(__xludf.DUMMYFUNCTION("GOOGLEFINANCE(C87,""Price"")"),671.5)</f>
        <v>671.5</v>
      </c>
      <c r="F87" s="9">
        <f ca="1">IFERROR(__xludf.DUMMYFUNCTION("GOOGLEFINANCE(C87,""change"")"),20.75)</f>
        <v>20.75</v>
      </c>
      <c r="G87" s="10">
        <f ca="1">IFERROR(__xludf.DUMMYFUNCTION("GOOGLEFINANCE(C87,""Changepct"")/100"),0.0319)</f>
        <v>3.1899999999999998E-2</v>
      </c>
      <c r="H87" s="11">
        <f ca="1">IFERROR(__xludf.DUMMYFUNCTION("GOOGLEFINANCE(C87,""Marketcap"")"),88699381872)</f>
        <v>88699381872</v>
      </c>
      <c r="I87" s="9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4" x14ac:dyDescent="0.3">
      <c r="A88" s="6" t="s">
        <v>202</v>
      </c>
      <c r="B88" s="6" t="s">
        <v>29</v>
      </c>
      <c r="C88" s="7" t="s">
        <v>203</v>
      </c>
      <c r="D88" s="7" t="s">
        <v>13</v>
      </c>
      <c r="E88" s="8">
        <f ca="1">IFERROR(__xludf.DUMMYFUNCTION("GOOGLEFINANCE(C88,""Price"")"),1915)</f>
        <v>1915</v>
      </c>
      <c r="F88" s="9">
        <f ca="1">IFERROR(__xludf.DUMMYFUNCTION("GOOGLEFINANCE(C88,""change"")"),8.1)</f>
        <v>8.1</v>
      </c>
      <c r="G88" s="10">
        <f ca="1">IFERROR(__xludf.DUMMYFUNCTION("GOOGLEFINANCE(C88,""Changepct"")/100"),0.0042)</f>
        <v>4.1999999999999997E-3</v>
      </c>
      <c r="H88" s="11">
        <f ca="1">IFERROR(__xludf.DUMMYFUNCTION("GOOGLEFINANCE(C88,""Marketcap"")"),140283566117)</f>
        <v>140283566117</v>
      </c>
      <c r="I88" s="9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4" x14ac:dyDescent="0.3">
      <c r="A89" s="6" t="s">
        <v>204</v>
      </c>
      <c r="B89" s="6" t="s">
        <v>29</v>
      </c>
      <c r="C89" s="7" t="s">
        <v>205</v>
      </c>
      <c r="D89" s="7" t="s">
        <v>13</v>
      </c>
      <c r="E89" s="8">
        <f ca="1">IFERROR(__xludf.DUMMYFUNCTION("GOOGLEFINANCE(C89,""Price"")"),275.15)</f>
        <v>275.14999999999998</v>
      </c>
      <c r="F89" s="9">
        <f ca="1">IFERROR(__xludf.DUMMYFUNCTION("GOOGLEFINANCE(C89,""change"")"),1.1)</f>
        <v>1.1000000000000001</v>
      </c>
      <c r="G89" s="10">
        <f ca="1">IFERROR(__xludf.DUMMYFUNCTION("GOOGLEFINANCE(C89,""Changepct"")/100"),0.004)</f>
        <v>4.0000000000000001E-3</v>
      </c>
      <c r="H89" s="11">
        <f ca="1">IFERROR(__xludf.DUMMYFUNCTION("GOOGLEFINANCE(C89,""Marketcap"")"),47775859579)</f>
        <v>47775859579</v>
      </c>
      <c r="I89" s="9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4" x14ac:dyDescent="0.3">
      <c r="A90" s="6" t="s">
        <v>206</v>
      </c>
      <c r="B90" s="6" t="s">
        <v>32</v>
      </c>
      <c r="C90" s="7" t="s">
        <v>207</v>
      </c>
      <c r="D90" s="7" t="s">
        <v>22</v>
      </c>
      <c r="E90" s="8">
        <f ca="1">IFERROR(__xludf.DUMMYFUNCTION("GOOGLEFINANCE(C90,""Price"")"),649.85)</f>
        <v>649.85</v>
      </c>
      <c r="F90" s="9">
        <f ca="1">IFERROR(__xludf.DUMMYFUNCTION("GOOGLEFINANCE(C90,""change"")"),20)</f>
        <v>20</v>
      </c>
      <c r="G90" s="10">
        <f ca="1">IFERROR(__xludf.DUMMYFUNCTION("GOOGLEFINANCE(C90,""Changepct"")/100"),0.0318)</f>
        <v>3.1800000000000002E-2</v>
      </c>
      <c r="H90" s="11">
        <f ca="1">IFERROR(__xludf.DUMMYFUNCTION("GOOGLEFINANCE(C90,""Marketcap"")"),662467755199)</f>
        <v>662467755199</v>
      </c>
      <c r="I90" s="9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4" x14ac:dyDescent="0.3">
      <c r="A91" s="6" t="s">
        <v>208</v>
      </c>
      <c r="B91" s="6" t="s">
        <v>29</v>
      </c>
      <c r="C91" s="7" t="s">
        <v>209</v>
      </c>
      <c r="D91" s="7" t="s">
        <v>13</v>
      </c>
      <c r="E91" s="8">
        <f ca="1">IFERROR(__xludf.DUMMYFUNCTION("GOOGLEFINANCE(C91,""Price"")"),508.75)</f>
        <v>508.75</v>
      </c>
      <c r="F91" s="9">
        <f ca="1">IFERROR(__xludf.DUMMYFUNCTION("GOOGLEFINANCE(C91,""change"")"),-3.75)</f>
        <v>-3.75</v>
      </c>
      <c r="G91" s="10">
        <f ca="1">IFERROR(__xludf.DUMMYFUNCTION("GOOGLEFINANCE(C91,""Changepct"")/100"),-0.0073)</f>
        <v>-7.3000000000000001E-3</v>
      </c>
      <c r="H91" s="11">
        <f ca="1">IFERROR(__xludf.DUMMYFUNCTION("GOOGLEFINANCE(C91,""Marketcap"")"),68021804320)</f>
        <v>68021804320</v>
      </c>
      <c r="I91" s="9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4" x14ac:dyDescent="0.3">
      <c r="A92" s="6" t="s">
        <v>210</v>
      </c>
      <c r="B92" s="6" t="s">
        <v>29</v>
      </c>
      <c r="C92" s="7" t="s">
        <v>211</v>
      </c>
      <c r="D92" s="7" t="s">
        <v>22</v>
      </c>
      <c r="E92" s="8">
        <f ca="1">IFERROR(__xludf.DUMMYFUNCTION("GOOGLEFINANCE(C92,""Price"")"),152)</f>
        <v>152</v>
      </c>
      <c r="F92" s="9">
        <f ca="1">IFERROR(__xludf.DUMMYFUNCTION("GOOGLEFINANCE(C92,""change"")"),1.9)</f>
        <v>1.9</v>
      </c>
      <c r="G92" s="10">
        <f ca="1">IFERROR(__xludf.DUMMYFUNCTION("GOOGLEFINANCE(C92,""Changepct"")/100"),0.0127)</f>
        <v>1.2699999999999999E-2</v>
      </c>
      <c r="H92" s="11">
        <f ca="1">IFERROR(__xludf.DUMMYFUNCTION("GOOGLEFINANCE(C92,""Marketcap"")"),250799293500)</f>
        <v>250799293500</v>
      </c>
      <c r="I92" s="9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4" x14ac:dyDescent="0.3">
      <c r="A93" s="6" t="s">
        <v>212</v>
      </c>
      <c r="B93" s="6" t="s">
        <v>32</v>
      </c>
      <c r="C93" s="7" t="s">
        <v>213</v>
      </c>
      <c r="D93" s="7" t="s">
        <v>13</v>
      </c>
      <c r="E93" s="8">
        <f ca="1">IFERROR(__xludf.DUMMYFUNCTION("GOOGLEFINANCE(C93,""Price"")"),567.55)</f>
        <v>567.54999999999995</v>
      </c>
      <c r="F93" s="9">
        <f ca="1">IFERROR(__xludf.DUMMYFUNCTION("GOOGLEFINANCE(C93,""change"")"),-9.55)</f>
        <v>-9.5500000000000007</v>
      </c>
      <c r="G93" s="10">
        <f ca="1">IFERROR(__xludf.DUMMYFUNCTION("GOOGLEFINANCE(C93,""Changepct"")/100"),-0.0165)</f>
        <v>-1.6500000000000001E-2</v>
      </c>
      <c r="H93" s="11">
        <f ca="1">IFERROR(__xludf.DUMMYFUNCTION("GOOGLEFINANCE(C93,""Marketcap"")"),42976248880)</f>
        <v>42976248880</v>
      </c>
      <c r="I93" s="9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4" x14ac:dyDescent="0.3">
      <c r="A94" s="6" t="s">
        <v>214</v>
      </c>
      <c r="B94" s="6" t="s">
        <v>29</v>
      </c>
      <c r="C94" s="7" t="s">
        <v>215</v>
      </c>
      <c r="D94" s="7" t="s">
        <v>13</v>
      </c>
      <c r="E94" s="8">
        <f ca="1">IFERROR(__xludf.DUMMYFUNCTION("GOOGLEFINANCE(C94,""Price"")"),461)</f>
        <v>461</v>
      </c>
      <c r="F94" s="9">
        <f ca="1">IFERROR(__xludf.DUMMYFUNCTION("GOOGLEFINANCE(C94,""change"")"),1)</f>
        <v>1</v>
      </c>
      <c r="G94" s="10">
        <f ca="1">IFERROR(__xludf.DUMMYFUNCTION("GOOGLEFINANCE(C94,""Changepct"")/100"),0.0022)</f>
        <v>2.2000000000000001E-3</v>
      </c>
      <c r="H94" s="11">
        <f ca="1">IFERROR(__xludf.DUMMYFUNCTION("GOOGLEFINANCE(C94,""Marketcap"")"),80806523300)</f>
        <v>80806523300</v>
      </c>
      <c r="I94" s="9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4" x14ac:dyDescent="0.3">
      <c r="A95" s="6" t="s">
        <v>216</v>
      </c>
      <c r="B95" s="6" t="s">
        <v>15</v>
      </c>
      <c r="C95" s="7" t="s">
        <v>217</v>
      </c>
      <c r="D95" s="7" t="s">
        <v>13</v>
      </c>
      <c r="E95" s="8">
        <f ca="1">IFERROR(__xludf.DUMMYFUNCTION("GOOGLEFINANCE(C95,""Price"")"),587)</f>
        <v>587</v>
      </c>
      <c r="F95" s="9">
        <f ca="1">IFERROR(__xludf.DUMMYFUNCTION("GOOGLEFINANCE(C95,""change"")"),-7.2)</f>
        <v>-7.2</v>
      </c>
      <c r="G95" s="10">
        <f ca="1">IFERROR(__xludf.DUMMYFUNCTION("GOOGLEFINANCE(C95,""Changepct"")/100"),-0.0121)</f>
        <v>-1.21E-2</v>
      </c>
      <c r="H95" s="11">
        <f ca="1">IFERROR(__xludf.DUMMYFUNCTION("GOOGLEFINANCE(C95,""Marketcap"")"),111291619300)</f>
        <v>111291619300</v>
      </c>
      <c r="I95" s="9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4" x14ac:dyDescent="0.3">
      <c r="A96" s="6" t="s">
        <v>218</v>
      </c>
      <c r="B96" s="6" t="s">
        <v>50</v>
      </c>
      <c r="C96" s="7" t="s">
        <v>219</v>
      </c>
      <c r="D96" s="7" t="s">
        <v>13</v>
      </c>
      <c r="E96" s="8">
        <f ca="1">IFERROR(__xludf.DUMMYFUNCTION("GOOGLEFINANCE(C96,""Price"")"),130.6)</f>
        <v>130.6</v>
      </c>
      <c r="F96" s="9">
        <f ca="1">IFERROR(__xludf.DUMMYFUNCTION("GOOGLEFINANCE(C96,""change"")"),4.05)</f>
        <v>4.05</v>
      </c>
      <c r="G96" s="10">
        <f ca="1">IFERROR(__xludf.DUMMYFUNCTION("GOOGLEFINANCE(C96,""Changepct"")/100"),0.032)</f>
        <v>3.2000000000000001E-2</v>
      </c>
      <c r="H96" s="11">
        <f ca="1">IFERROR(__xludf.DUMMYFUNCTION("GOOGLEFINANCE(C96,""Marketcap"")"),129080421000)</f>
        <v>129080421000</v>
      </c>
      <c r="I96" s="9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4" x14ac:dyDescent="0.3">
      <c r="A97" s="6" t="s">
        <v>220</v>
      </c>
      <c r="B97" s="6" t="s">
        <v>82</v>
      </c>
      <c r="C97" s="7" t="s">
        <v>221</v>
      </c>
      <c r="D97" s="7" t="s">
        <v>13</v>
      </c>
      <c r="E97" s="8">
        <f ca="1">IFERROR(__xludf.DUMMYFUNCTION("GOOGLEFINANCE(C97,""Price"")"),1290.6)</f>
        <v>1290.5999999999999</v>
      </c>
      <c r="F97" s="9">
        <f ca="1">IFERROR(__xludf.DUMMYFUNCTION("GOOGLEFINANCE(C97,""change"")"),12.35)</f>
        <v>12.35</v>
      </c>
      <c r="G97" s="10">
        <f ca="1">IFERROR(__xludf.DUMMYFUNCTION("GOOGLEFINANCE(C97,""Changepct"")/100"),0.0097)</f>
        <v>9.7000000000000003E-3</v>
      </c>
      <c r="H97" s="11">
        <f ca="1">IFERROR(__xludf.DUMMYFUNCTION("GOOGLEFINANCE(C97,""Marketcap"")"),52204885166)</f>
        <v>52204885166</v>
      </c>
      <c r="I97" s="9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4" x14ac:dyDescent="0.3">
      <c r="A98" s="6" t="s">
        <v>222</v>
      </c>
      <c r="B98" s="6" t="s">
        <v>29</v>
      </c>
      <c r="C98" s="7" t="s">
        <v>223</v>
      </c>
      <c r="D98" s="7" t="s">
        <v>13</v>
      </c>
      <c r="E98" s="8">
        <f ca="1">IFERROR(__xludf.DUMMYFUNCTION("GOOGLEFINANCE(C98,""Price"")"),18.45)</f>
        <v>18.45</v>
      </c>
      <c r="F98" s="9">
        <f ca="1">IFERROR(__xludf.DUMMYFUNCTION("GOOGLEFINANCE(C98,""change"")"),1.35)</f>
        <v>1.35</v>
      </c>
      <c r="G98" s="10">
        <f ca="1">IFERROR(__xludf.DUMMYFUNCTION("GOOGLEFINANCE(C98,""Changepct"")/100"),0.0789)</f>
        <v>7.8899999999999998E-2</v>
      </c>
      <c r="H98" s="11">
        <f ca="1">IFERROR(__xludf.DUMMYFUNCTION("GOOGLEFINANCE(C98,""Marketcap"")"),108110320158)</f>
        <v>108110320158</v>
      </c>
      <c r="I98" s="9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4" x14ac:dyDescent="0.3">
      <c r="A99" s="6" t="s">
        <v>224</v>
      </c>
      <c r="B99" s="6" t="s">
        <v>29</v>
      </c>
      <c r="C99" s="7" t="s">
        <v>225</v>
      </c>
      <c r="D99" s="7" t="s">
        <v>13</v>
      </c>
      <c r="E99" s="8">
        <f ca="1">IFERROR(__xludf.DUMMYFUNCTION("GOOGLEFINANCE(C99,""Price"")"),807.1)</f>
        <v>807.1</v>
      </c>
      <c r="F99" s="9">
        <f ca="1">IFERROR(__xludf.DUMMYFUNCTION("GOOGLEFINANCE(C99,""change"")"),9.1)</f>
        <v>9.1</v>
      </c>
      <c r="G99" s="10">
        <f ca="1">IFERROR(__xludf.DUMMYFUNCTION("GOOGLEFINANCE(C99,""Changepct"")/100"),0.0113999999999999)</f>
        <v>1.13999999999999E-2</v>
      </c>
      <c r="H99" s="11">
        <f ca="1">IFERROR(__xludf.DUMMYFUNCTION("GOOGLEFINANCE(C99,""Marketcap"")"),84341947448)</f>
        <v>84341947448</v>
      </c>
      <c r="I99" s="9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4" x14ac:dyDescent="0.3">
      <c r="A100" s="6" t="s">
        <v>226</v>
      </c>
      <c r="B100" s="6" t="s">
        <v>11</v>
      </c>
      <c r="C100" s="7" t="s">
        <v>227</v>
      </c>
      <c r="D100" s="7" t="s">
        <v>13</v>
      </c>
      <c r="E100" s="8">
        <f ca="1">IFERROR(__xludf.DUMMYFUNCTION("GOOGLEFINANCE(C100,""Price"")"),341.9)</f>
        <v>341.9</v>
      </c>
      <c r="F100" s="9">
        <f ca="1">IFERROR(__xludf.DUMMYFUNCTION("GOOGLEFINANCE(C100,""change"")"),1.05)</f>
        <v>1.05</v>
      </c>
      <c r="G100" s="10">
        <f ca="1">IFERROR(__xludf.DUMMYFUNCTION("GOOGLEFINANCE(C100,""Changepct"")/100"),0.0031)</f>
        <v>3.0999999999999999E-3</v>
      </c>
      <c r="H100" s="11">
        <f ca="1">IFERROR(__xludf.DUMMYFUNCTION("GOOGLEFINANCE(C100,""Marketcap"")"),75960913153)</f>
        <v>75960913153</v>
      </c>
      <c r="I100" s="9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4" x14ac:dyDescent="0.3">
      <c r="A101" s="6" t="s">
        <v>228</v>
      </c>
      <c r="B101" s="6" t="s">
        <v>229</v>
      </c>
      <c r="C101" s="7" t="s">
        <v>230</v>
      </c>
      <c r="D101" s="7" t="s">
        <v>13</v>
      </c>
      <c r="E101" s="8">
        <f ca="1">IFERROR(__xludf.DUMMYFUNCTION("GOOGLEFINANCE(C101,""Price"")"),480)</f>
        <v>480</v>
      </c>
      <c r="F101" s="9">
        <f ca="1">IFERROR(__xludf.DUMMYFUNCTION("GOOGLEFINANCE(C101,""change"")"),10.5)</f>
        <v>10.5</v>
      </c>
      <c r="G101" s="10">
        <f ca="1">IFERROR(__xludf.DUMMYFUNCTION("GOOGLEFINANCE(C101,""Changepct"")/100"),0.0224)</f>
        <v>2.24E-2</v>
      </c>
      <c r="H101" s="11">
        <f ca="1">IFERROR(__xludf.DUMMYFUNCTION("GOOGLEFINANCE(C101,""Marketcap"")"),53654446696)</f>
        <v>53654446696</v>
      </c>
      <c r="I101" s="9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4" x14ac:dyDescent="0.3">
      <c r="A102" s="6" t="s">
        <v>231</v>
      </c>
      <c r="B102" s="6" t="s">
        <v>11</v>
      </c>
      <c r="C102" s="7" t="s">
        <v>232</v>
      </c>
      <c r="D102" s="7" t="s">
        <v>13</v>
      </c>
      <c r="E102" s="8">
        <f ca="1">IFERROR(__xludf.DUMMYFUNCTION("GOOGLEFINANCE(C102,""Price"")"),3838.1)</f>
        <v>3838.1</v>
      </c>
      <c r="F102" s="9">
        <f ca="1">IFERROR(__xludf.DUMMYFUNCTION("GOOGLEFINANCE(C102,""change"")"),-0.4)</f>
        <v>-0.4</v>
      </c>
      <c r="G102" s="10">
        <f ca="1">IFERROR(__xludf.DUMMYFUNCTION("GOOGLEFINANCE(C102,""Changepct"")/100"),-0.0001)</f>
        <v>-1E-4</v>
      </c>
      <c r="H102" s="11">
        <f ca="1">IFERROR(__xludf.DUMMYFUNCTION("GOOGLEFINANCE(C102,""Marketcap"")"),49237590285)</f>
        <v>49237590285</v>
      </c>
      <c r="I102" s="9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4" x14ac:dyDescent="0.3">
      <c r="A103" s="6" t="s">
        <v>233</v>
      </c>
      <c r="B103" s="6" t="s">
        <v>57</v>
      </c>
      <c r="C103" s="7" t="s">
        <v>234</v>
      </c>
      <c r="D103" s="7" t="s">
        <v>13</v>
      </c>
      <c r="E103" s="8">
        <f ca="1">IFERROR(__xludf.DUMMYFUNCTION("GOOGLEFINANCE(C103,""Price"")"),148.1)</f>
        <v>148.1</v>
      </c>
      <c r="F103" s="9">
        <f ca="1">IFERROR(__xludf.DUMMYFUNCTION("GOOGLEFINANCE(C103,""change"")"),-1)</f>
        <v>-1</v>
      </c>
      <c r="G103" s="10">
        <f ca="1">IFERROR(__xludf.DUMMYFUNCTION("GOOGLEFINANCE(C103,""Changepct"")/100"),-0.0067)</f>
        <v>-6.7000000000000002E-3</v>
      </c>
      <c r="H103" s="11">
        <f ca="1">IFERROR(__xludf.DUMMYFUNCTION("GOOGLEFINANCE(C103,""Marketcap"")"),30394722694)</f>
        <v>30394722694</v>
      </c>
      <c r="I103" s="9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4" x14ac:dyDescent="0.3">
      <c r="A104" s="6" t="s">
        <v>235</v>
      </c>
      <c r="B104" s="6" t="s">
        <v>157</v>
      </c>
      <c r="C104" s="7" t="s">
        <v>236</v>
      </c>
      <c r="D104" s="7" t="s">
        <v>13</v>
      </c>
      <c r="E104" s="8">
        <f ca="1">IFERROR(__xludf.DUMMYFUNCTION("GOOGLEFINANCE(C104,""Price"")"),256)</f>
        <v>256</v>
      </c>
      <c r="F104" s="9">
        <f ca="1">IFERROR(__xludf.DUMMYFUNCTION("GOOGLEFINANCE(C104,""change"")"),25.4)</f>
        <v>25.4</v>
      </c>
      <c r="G104" s="10">
        <f ca="1">IFERROR(__xludf.DUMMYFUNCTION("GOOGLEFINANCE(C104,""Changepct"")/100"),0.1101)</f>
        <v>0.1101</v>
      </c>
      <c r="H104" s="11">
        <f ca="1">IFERROR(__xludf.DUMMYFUNCTION("GOOGLEFINANCE(C104,""Marketcap"")"),106143443047)</f>
        <v>106143443047</v>
      </c>
      <c r="I104" s="9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4" x14ac:dyDescent="0.3">
      <c r="A105" s="6" t="s">
        <v>237</v>
      </c>
      <c r="B105" s="6" t="s">
        <v>29</v>
      </c>
      <c r="C105" s="7" t="s">
        <v>238</v>
      </c>
      <c r="D105" s="7" t="s">
        <v>13</v>
      </c>
      <c r="E105" s="8">
        <f ca="1">IFERROR(__xludf.DUMMYFUNCTION("GOOGLEFINANCE(C105,""Price"")"),562)</f>
        <v>562</v>
      </c>
      <c r="F105" s="9">
        <f ca="1">IFERROR(__xludf.DUMMYFUNCTION("GOOGLEFINANCE(C105,""change"")"),-2.65)</f>
        <v>-2.65</v>
      </c>
      <c r="G105" s="10">
        <f ca="1">IFERROR(__xludf.DUMMYFUNCTION("GOOGLEFINANCE(C105,""Changepct"")/100"),-0.00469999999999999)</f>
        <v>-4.6999999999999898E-3</v>
      </c>
      <c r="H105" s="11">
        <f ca="1">IFERROR(__xludf.DUMMYFUNCTION("GOOGLEFINANCE(C105,""Marketcap"")"),105237509216)</f>
        <v>105237509216</v>
      </c>
      <c r="I105" s="9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4" x14ac:dyDescent="0.3">
      <c r="A106" s="6" t="s">
        <v>239</v>
      </c>
      <c r="B106" s="6" t="s">
        <v>29</v>
      </c>
      <c r="C106" s="7" t="s">
        <v>240</v>
      </c>
      <c r="D106" s="7" t="s">
        <v>22</v>
      </c>
      <c r="E106" s="8">
        <f ca="1">IFERROR(__xludf.DUMMYFUNCTION("GOOGLEFINANCE(C106,""Price"")"),523.65)</f>
        <v>523.65</v>
      </c>
      <c r="F106" s="9">
        <f ca="1">IFERROR(__xludf.DUMMYFUNCTION("GOOGLEFINANCE(C106,""change"")"),-27.3)</f>
        <v>-27.3</v>
      </c>
      <c r="G106" s="10">
        <f ca="1">IFERROR(__xludf.DUMMYFUNCTION("GOOGLEFINANCE(C106,""Changepct"")/100"),-0.0496)</f>
        <v>-4.9599999999999998E-2</v>
      </c>
      <c r="H106" s="11">
        <f ca="1">IFERROR(__xludf.DUMMYFUNCTION("GOOGLEFINANCE(C106,""Marketcap"")"),430023848800)</f>
        <v>430023848800</v>
      </c>
      <c r="I106" s="9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4" x14ac:dyDescent="0.3">
      <c r="A107" s="6" t="s">
        <v>241</v>
      </c>
      <c r="B107" s="6" t="s">
        <v>32</v>
      </c>
      <c r="C107" s="7" t="s">
        <v>242</v>
      </c>
      <c r="D107" s="7" t="s">
        <v>22</v>
      </c>
      <c r="E107" s="8">
        <f ca="1">IFERROR(__xludf.DUMMYFUNCTION("GOOGLEFINANCE(C107,""Price"")"),900)</f>
        <v>900</v>
      </c>
      <c r="F107" s="9">
        <f ca="1">IFERROR(__xludf.DUMMYFUNCTION("GOOGLEFINANCE(C107,""change"")"),9.1)</f>
        <v>9.1</v>
      </c>
      <c r="G107" s="10">
        <f ca="1">IFERROR(__xludf.DUMMYFUNCTION("GOOGLEFINANCE(C107,""Changepct"")/100"),0.0102)</f>
        <v>1.0200000000000001E-2</v>
      </c>
      <c r="H107" s="11">
        <f ca="1">IFERROR(__xludf.DUMMYFUNCTION("GOOGLEFINANCE(C107,""Marketcap"")"),725820300000)</f>
        <v>725820300000</v>
      </c>
      <c r="I107" s="9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4" x14ac:dyDescent="0.3">
      <c r="A108" s="6" t="s">
        <v>243</v>
      </c>
      <c r="B108" s="6" t="s">
        <v>29</v>
      </c>
      <c r="C108" s="7" t="s">
        <v>244</v>
      </c>
      <c r="D108" s="7" t="s">
        <v>22</v>
      </c>
      <c r="E108" s="8">
        <f ca="1">IFERROR(__xludf.DUMMYFUNCTION("GOOGLEFINANCE(C108,""Price"")"),165.9)</f>
        <v>165.9</v>
      </c>
      <c r="F108" s="9">
        <f ca="1">IFERROR(__xludf.DUMMYFUNCTION("GOOGLEFINANCE(C108,""change"")"),-0.25)</f>
        <v>-0.25</v>
      </c>
      <c r="G108" s="10">
        <f ca="1">IFERROR(__xludf.DUMMYFUNCTION("GOOGLEFINANCE(C108,""Changepct"")/100"),-0.0015)</f>
        <v>-1.5E-3</v>
      </c>
      <c r="H108" s="11">
        <f ca="1">IFERROR(__xludf.DUMMYFUNCTION("GOOGLEFINANCE(C108,""Marketcap"")"),122570581880)</f>
        <v>122570581880</v>
      </c>
      <c r="I108" s="9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4" x14ac:dyDescent="0.3">
      <c r="A109" s="6" t="s">
        <v>245</v>
      </c>
      <c r="B109" s="6" t="s">
        <v>26</v>
      </c>
      <c r="C109" s="7" t="s">
        <v>246</v>
      </c>
      <c r="D109" s="7" t="s">
        <v>22</v>
      </c>
      <c r="E109" s="8">
        <f ca="1">IFERROR(__xludf.DUMMYFUNCTION("GOOGLEFINANCE(C109,""Price"")"),153.7)</f>
        <v>153.69999999999999</v>
      </c>
      <c r="F109" s="9">
        <f ca="1">IFERROR(__xludf.DUMMYFUNCTION("GOOGLEFINANCE(C109,""change"")"),-2)</f>
        <v>-2</v>
      </c>
      <c r="G109" s="10">
        <f ca="1">IFERROR(__xludf.DUMMYFUNCTION("GOOGLEFINANCE(C109,""Changepct"")/100"),-0.0128)</f>
        <v>-1.2800000000000001E-2</v>
      </c>
      <c r="H109" s="11">
        <f ca="1">IFERROR(__xludf.DUMMYFUNCTION("GOOGLEFINANCE(C109,""Marketcap"")"),946890998500)</f>
        <v>946890998500</v>
      </c>
      <c r="I109" s="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4" x14ac:dyDescent="0.3">
      <c r="A110" s="6" t="s">
        <v>247</v>
      </c>
      <c r="B110" s="6" t="s">
        <v>15</v>
      </c>
      <c r="C110" s="7" t="s">
        <v>248</v>
      </c>
      <c r="D110" s="7" t="s">
        <v>13</v>
      </c>
      <c r="E110" s="8">
        <f ca="1">IFERROR(__xludf.DUMMYFUNCTION("GOOGLEFINANCE(C110,""Price"")"),376.35)</f>
        <v>376.35</v>
      </c>
      <c r="F110" s="9">
        <f ca="1">IFERROR(__xludf.DUMMYFUNCTION("GOOGLEFINANCE(C110,""change"")"),8.35)</f>
        <v>8.35</v>
      </c>
      <c r="G110" s="10">
        <f ca="1">IFERROR(__xludf.DUMMYFUNCTION("GOOGLEFINANCE(C110,""Changepct"")/100"),0.0227)</f>
        <v>2.2700000000000001E-2</v>
      </c>
      <c r="H110" s="11">
        <f ca="1">IFERROR(__xludf.DUMMYFUNCTION("GOOGLEFINANCE(C110,""Marketcap"")"),49505192707)</f>
        <v>49505192707</v>
      </c>
      <c r="I110" s="9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4" x14ac:dyDescent="0.3">
      <c r="A111" s="6" t="s">
        <v>249</v>
      </c>
      <c r="B111" s="6" t="s">
        <v>64</v>
      </c>
      <c r="C111" s="7" t="s">
        <v>250</v>
      </c>
      <c r="D111" s="7" t="s">
        <v>22</v>
      </c>
      <c r="E111" s="8">
        <f ca="1">IFERROR(__xludf.DUMMYFUNCTION("GOOGLEFINANCE(C111,""Price"")"),3392.4)</f>
        <v>3392.4</v>
      </c>
      <c r="F111" s="9">
        <f ca="1">IFERROR(__xludf.DUMMYFUNCTION("GOOGLEFINANCE(C111,""change"")"),-26)</f>
        <v>-26</v>
      </c>
      <c r="G111" s="10">
        <f ca="1">IFERROR(__xludf.DUMMYFUNCTION("GOOGLEFINANCE(C111,""Changepct"")/100"),-0.0076)</f>
        <v>-7.6E-3</v>
      </c>
      <c r="H111" s="11">
        <f ca="1">IFERROR(__xludf.DUMMYFUNCTION("GOOGLEFINANCE(C111,""Marketcap"")"),205455790412)</f>
        <v>205455790412</v>
      </c>
      <c r="I111" s="9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4" x14ac:dyDescent="0.3">
      <c r="A112" s="6" t="s">
        <v>251</v>
      </c>
      <c r="B112" s="6" t="s">
        <v>11</v>
      </c>
      <c r="C112" s="7" t="s">
        <v>252</v>
      </c>
      <c r="D112" s="7" t="s">
        <v>22</v>
      </c>
      <c r="E112" s="8">
        <f ca="1">IFERROR(__xludf.DUMMYFUNCTION("GOOGLEFINANCE(C112,""Price"")"),1535)</f>
        <v>1535</v>
      </c>
      <c r="F112" s="9">
        <f ca="1">IFERROR(__xludf.DUMMYFUNCTION("GOOGLEFINANCE(C112,""change"")"),6.4)</f>
        <v>6.4</v>
      </c>
      <c r="G112" s="10">
        <f ca="1">IFERROR(__xludf.DUMMYFUNCTION("GOOGLEFINANCE(C112,""Changepct"")/100"),0.0042)</f>
        <v>4.1999999999999997E-3</v>
      </c>
      <c r="H112" s="11">
        <f ca="1">IFERROR(__xludf.DUMMYFUNCTION("GOOGLEFINANCE(C112,""Marketcap"")"),417497896000)</f>
        <v>417497896000</v>
      </c>
      <c r="I112" s="9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4" x14ac:dyDescent="0.3">
      <c r="A113" s="6" t="s">
        <v>253</v>
      </c>
      <c r="B113" s="6" t="s">
        <v>29</v>
      </c>
      <c r="C113" s="7" t="s">
        <v>254</v>
      </c>
      <c r="D113" s="7" t="s">
        <v>13</v>
      </c>
      <c r="E113" s="8">
        <f ca="1">IFERROR(__xludf.DUMMYFUNCTION("GOOGLEFINANCE(C113,""Price"")"),2361.5)</f>
        <v>2361.5</v>
      </c>
      <c r="F113" s="9">
        <f ca="1">IFERROR(__xludf.DUMMYFUNCTION("GOOGLEFINANCE(C113,""change"")"),33.4)</f>
        <v>33.4</v>
      </c>
      <c r="G113" s="10">
        <f ca="1">IFERROR(__xludf.DUMMYFUNCTION("GOOGLEFINANCE(C113,""Changepct"")/100"),0.0143)</f>
        <v>1.43E-2</v>
      </c>
      <c r="H113" s="11">
        <f ca="1">IFERROR(__xludf.DUMMYFUNCTION("GOOGLEFINANCE(C113,""Marketcap"")"),115301465480)</f>
        <v>115301465480</v>
      </c>
      <c r="I113" s="9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4" x14ac:dyDescent="0.3">
      <c r="A114" s="6" t="s">
        <v>255</v>
      </c>
      <c r="B114" s="6" t="s">
        <v>47</v>
      </c>
      <c r="C114" s="7" t="s">
        <v>256</v>
      </c>
      <c r="D114" s="7" t="s">
        <v>22</v>
      </c>
      <c r="E114" s="8">
        <f ca="1">IFERROR(__xludf.DUMMYFUNCTION("GOOGLEFINANCE(C114,""Price"")"),596.5)</f>
        <v>596.5</v>
      </c>
      <c r="F114" s="9">
        <f ca="1">IFERROR(__xludf.DUMMYFUNCTION("GOOGLEFINANCE(C114,""change"")"),-16)</f>
        <v>-16</v>
      </c>
      <c r="G114" s="10">
        <f ca="1">IFERROR(__xludf.DUMMYFUNCTION("GOOGLEFINANCE(C114,""Changepct"")/100"),-0.0260999999999999)</f>
        <v>-2.6099999999999901E-2</v>
      </c>
      <c r="H114" s="11">
        <f ca="1">IFERROR(__xludf.DUMMYFUNCTION("GOOGLEFINANCE(C114,""Marketcap"")"),363731342792)</f>
        <v>363731342792</v>
      </c>
      <c r="I114" s="9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4" x14ac:dyDescent="0.3">
      <c r="A115" s="6" t="s">
        <v>257</v>
      </c>
      <c r="B115" s="6" t="s">
        <v>157</v>
      </c>
      <c r="C115" s="7" t="s">
        <v>258</v>
      </c>
      <c r="D115" s="7" t="s">
        <v>13</v>
      </c>
      <c r="E115" s="8">
        <f ca="1">IFERROR(__xludf.DUMMYFUNCTION("GOOGLEFINANCE(C115,""Price"")"),771)</f>
        <v>771</v>
      </c>
      <c r="F115" s="9">
        <f ca="1">IFERROR(__xludf.DUMMYFUNCTION("GOOGLEFINANCE(C115,""change"")"),11.95)</f>
        <v>11.95</v>
      </c>
      <c r="G115" s="10">
        <f ca="1">IFERROR(__xludf.DUMMYFUNCTION("GOOGLEFINANCE(C115,""Changepct"")/100"),0.0157)</f>
        <v>1.5699999999999999E-2</v>
      </c>
      <c r="H115" s="11">
        <f ca="1">IFERROR(__xludf.DUMMYFUNCTION("GOOGLEFINANCE(C115,""Marketcap"")"),225886463419)</f>
        <v>225886463419</v>
      </c>
      <c r="I115" s="9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4" x14ac:dyDescent="0.3">
      <c r="A116" s="6" t="s">
        <v>259</v>
      </c>
      <c r="B116" s="6" t="s">
        <v>29</v>
      </c>
      <c r="C116" s="7" t="s">
        <v>260</v>
      </c>
      <c r="D116" s="7" t="s">
        <v>13</v>
      </c>
      <c r="E116" s="8">
        <f ca="1">IFERROR(__xludf.DUMMYFUNCTION("GOOGLEFINANCE(C116,""Price"")"),589)</f>
        <v>589</v>
      </c>
      <c r="F116" s="9">
        <f ca="1">IFERROR(__xludf.DUMMYFUNCTION("GOOGLEFINANCE(C116,""change"")"),-5.9)</f>
        <v>-5.9</v>
      </c>
      <c r="G116" s="10">
        <f ca="1">IFERROR(__xludf.DUMMYFUNCTION("GOOGLEFINANCE(C116,""Changepct"")/100"),-0.00989999999999999)</f>
        <v>-9.8999999999999904E-3</v>
      </c>
      <c r="H116" s="11">
        <f ca="1">IFERROR(__xludf.DUMMYFUNCTION("GOOGLEFINANCE(C116,""Marketcap"")"),91840422363)</f>
        <v>91840422363</v>
      </c>
      <c r="I116" s="9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4" x14ac:dyDescent="0.3">
      <c r="A117" s="6" t="s">
        <v>261</v>
      </c>
      <c r="B117" s="6" t="s">
        <v>11</v>
      </c>
      <c r="C117" s="7" t="s">
        <v>262</v>
      </c>
      <c r="D117" s="7" t="s">
        <v>13</v>
      </c>
      <c r="E117" s="8">
        <f ca="1">IFERROR(__xludf.DUMMYFUNCTION("GOOGLEFINANCE(C117,""Price"")"),366.3)</f>
        <v>366.3</v>
      </c>
      <c r="F117" s="9">
        <f ca="1">IFERROR(__xludf.DUMMYFUNCTION("GOOGLEFINANCE(C117,""change"")"),-4.85)</f>
        <v>-4.8499999999999996</v>
      </c>
      <c r="G117" s="10">
        <f ca="1">IFERROR(__xludf.DUMMYFUNCTION("GOOGLEFINANCE(C117,""Changepct"")/100"),-0.0131)</f>
        <v>-1.3100000000000001E-2</v>
      </c>
      <c r="H117" s="11">
        <f ca="1">IFERROR(__xludf.DUMMYFUNCTION("GOOGLEFINANCE(C117,""Marketcap"")"),228502735645)</f>
        <v>228502735645</v>
      </c>
      <c r="I117" s="9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4" x14ac:dyDescent="0.3">
      <c r="A118" s="6" t="s">
        <v>263</v>
      </c>
      <c r="B118" s="6" t="s">
        <v>15</v>
      </c>
      <c r="C118" s="7" t="s">
        <v>264</v>
      </c>
      <c r="D118" s="7" t="s">
        <v>22</v>
      </c>
      <c r="E118" s="8">
        <f ca="1">IFERROR(__xludf.DUMMYFUNCTION("GOOGLEFINANCE(C118,""Price"")"),833)</f>
        <v>833</v>
      </c>
      <c r="F118" s="9">
        <f ca="1">IFERROR(__xludf.DUMMYFUNCTION("GOOGLEFINANCE(C118,""change"")"),3.45)</f>
        <v>3.45</v>
      </c>
      <c r="G118" s="10">
        <f ca="1">IFERROR(__xludf.DUMMYFUNCTION("GOOGLEFINANCE(C118,""Changepct"")/100"),0.0042)</f>
        <v>4.1999999999999997E-3</v>
      </c>
      <c r="H118" s="11">
        <f ca="1">IFERROR(__xludf.DUMMYFUNCTION("GOOGLEFINANCE(C118,""Marketcap"")"),231129423625)</f>
        <v>231129423625</v>
      </c>
      <c r="I118" s="9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4" x14ac:dyDescent="0.3">
      <c r="A119" s="6" t="s">
        <v>265</v>
      </c>
      <c r="B119" s="6" t="s">
        <v>64</v>
      </c>
      <c r="C119" s="7" t="s">
        <v>266</v>
      </c>
      <c r="D119" s="7" t="s">
        <v>13</v>
      </c>
      <c r="E119" s="8">
        <f ca="1">IFERROR(__xludf.DUMMYFUNCTION("GOOGLEFINANCE(C119,""Price"")"),765.9)</f>
        <v>765.9</v>
      </c>
      <c r="F119" s="9">
        <f ca="1">IFERROR(__xludf.DUMMYFUNCTION("GOOGLEFINANCE(C119,""change"")"),-2.8)</f>
        <v>-2.8</v>
      </c>
      <c r="G119" s="10">
        <f ca="1">IFERROR(__xludf.DUMMYFUNCTION("GOOGLEFINANCE(C119,""Changepct"")/100"),-0.0036)</f>
        <v>-3.5999999999999999E-3</v>
      </c>
      <c r="H119" s="11">
        <f ca="1">IFERROR(__xludf.DUMMYFUNCTION("GOOGLEFINANCE(C119,""Marketcap"")"),83849144550)</f>
        <v>83849144550</v>
      </c>
      <c r="I119" s="9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4" x14ac:dyDescent="0.3">
      <c r="A120" s="6" t="s">
        <v>267</v>
      </c>
      <c r="B120" s="6" t="s">
        <v>29</v>
      </c>
      <c r="C120" s="7" t="s">
        <v>268</v>
      </c>
      <c r="D120" s="7" t="s">
        <v>13</v>
      </c>
      <c r="E120" s="8">
        <f ca="1">IFERROR(__xludf.DUMMYFUNCTION("GOOGLEFINANCE(C120,""Price"")"),100.5)</f>
        <v>100.5</v>
      </c>
      <c r="F120" s="9">
        <f ca="1">IFERROR(__xludf.DUMMYFUNCTION("GOOGLEFINANCE(C120,""change"")"),1.75)</f>
        <v>1.75</v>
      </c>
      <c r="G120" s="10">
        <f ca="1">IFERROR(__xludf.DUMMYFUNCTION("GOOGLEFINANCE(C120,""Changepct"")/100"),0.0177)</f>
        <v>1.77E-2</v>
      </c>
      <c r="H120" s="11">
        <f ca="1">IFERROR(__xludf.DUMMYFUNCTION("GOOGLEFINANCE(C120,""Marketcap"")"),31210124250)</f>
        <v>31210124250</v>
      </c>
      <c r="I120" s="9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4" x14ac:dyDescent="0.3">
      <c r="A121" s="6" t="s">
        <v>269</v>
      </c>
      <c r="B121" s="6" t="s">
        <v>11</v>
      </c>
      <c r="C121" s="7" t="s">
        <v>270</v>
      </c>
      <c r="D121" s="7" t="s">
        <v>13</v>
      </c>
      <c r="E121" s="8">
        <f ca="1">IFERROR(__xludf.DUMMYFUNCTION("GOOGLEFINANCE(C121,""Price"")"),659.5)</f>
        <v>659.5</v>
      </c>
      <c r="F121" s="9">
        <f ca="1">IFERROR(__xludf.DUMMYFUNCTION("GOOGLEFINANCE(C121,""change"")"),-44.15)</f>
        <v>-44.15</v>
      </c>
      <c r="G121" s="10">
        <f ca="1">IFERROR(__xludf.DUMMYFUNCTION("GOOGLEFINANCE(C121,""Changepct"")/100"),-0.0626999999999999)</f>
        <v>-6.2699999999999895E-2</v>
      </c>
      <c r="H121" s="11">
        <f ca="1">IFERROR(__xludf.DUMMYFUNCTION("GOOGLEFINANCE(C121,""Marketcap"")"),101759084479)</f>
        <v>101759084479</v>
      </c>
      <c r="I121" s="9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4" x14ac:dyDescent="0.3">
      <c r="A122" s="6" t="s">
        <v>271</v>
      </c>
      <c r="B122" s="6" t="s">
        <v>100</v>
      </c>
      <c r="C122" s="7" t="s">
        <v>272</v>
      </c>
      <c r="D122" s="7" t="s">
        <v>22</v>
      </c>
      <c r="E122" s="8">
        <f ca="1">IFERROR(__xludf.DUMMYFUNCTION("GOOGLEFINANCE(C122,""Price"")"),265.5)</f>
        <v>265.5</v>
      </c>
      <c r="F122" s="9">
        <f ca="1">IFERROR(__xludf.DUMMYFUNCTION("GOOGLEFINANCE(C122,""change"")"),0)</f>
        <v>0</v>
      </c>
      <c r="G122" s="10">
        <f ca="1">IFERROR(__xludf.DUMMYFUNCTION("GOOGLEFINANCE(C122,""Changepct"")/100"),0)</f>
        <v>0</v>
      </c>
      <c r="H122" s="11">
        <f ca="1">IFERROR(__xludf.DUMMYFUNCTION("GOOGLEFINANCE(C122,""Marketcap"")"),657814244821)</f>
        <v>657814244821</v>
      </c>
      <c r="I122" s="9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4" x14ac:dyDescent="0.3">
      <c r="A123" s="6" t="s">
        <v>273</v>
      </c>
      <c r="B123" s="6" t="s">
        <v>11</v>
      </c>
      <c r="C123" s="7" t="s">
        <v>274</v>
      </c>
      <c r="D123" s="7" t="s">
        <v>22</v>
      </c>
      <c r="E123" s="8">
        <f ca="1">IFERROR(__xludf.DUMMYFUNCTION("GOOGLEFINANCE(C123,""Price"")"),529)</f>
        <v>529</v>
      </c>
      <c r="F123" s="9">
        <f ca="1">IFERROR(__xludf.DUMMYFUNCTION("GOOGLEFINANCE(C123,""change"")"),3.55)</f>
        <v>3.55</v>
      </c>
      <c r="G123" s="10">
        <f ca="1">IFERROR(__xludf.DUMMYFUNCTION("GOOGLEFINANCE(C123,""Changepct"")/100"),0.0068)</f>
        <v>6.7999999999999996E-3</v>
      </c>
      <c r="H123" s="11">
        <f ca="1">IFERROR(__xludf.DUMMYFUNCTION("GOOGLEFINANCE(C123,""Marketcap"")"),935409681250)</f>
        <v>935409681250</v>
      </c>
      <c r="I123" s="9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4" x14ac:dyDescent="0.3">
      <c r="A124" s="6" t="s">
        <v>275</v>
      </c>
      <c r="B124" s="6" t="s">
        <v>20</v>
      </c>
      <c r="C124" s="7" t="s">
        <v>276</v>
      </c>
      <c r="D124" s="7" t="s">
        <v>13</v>
      </c>
      <c r="E124" s="8">
        <f ca="1">IFERROR(__xludf.DUMMYFUNCTION("GOOGLEFINANCE(C124,""Price"")"),1715)</f>
        <v>1715</v>
      </c>
      <c r="F124" s="9">
        <f ca="1">IFERROR(__xludf.DUMMYFUNCTION("GOOGLEFINANCE(C124,""change"")"),-7.3)</f>
        <v>-7.3</v>
      </c>
      <c r="G124" s="10">
        <f ca="1">IFERROR(__xludf.DUMMYFUNCTION("GOOGLEFINANCE(C124,""Changepct"")/100"),-0.0042)</f>
        <v>-4.1999999999999997E-3</v>
      </c>
      <c r="H124" s="11">
        <f ca="1">IFERROR(__xludf.DUMMYFUNCTION("GOOGLEFINANCE(C124,""Marketcap"")"),320906512500)</f>
        <v>320906512500</v>
      </c>
      <c r="I124" s="9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4" x14ac:dyDescent="0.3">
      <c r="A125" s="6" t="s">
        <v>277</v>
      </c>
      <c r="B125" s="6" t="s">
        <v>35</v>
      </c>
      <c r="C125" s="7" t="s">
        <v>278</v>
      </c>
      <c r="D125" s="7" t="s">
        <v>22</v>
      </c>
      <c r="E125" s="8">
        <f ca="1">IFERROR(__xludf.DUMMYFUNCTION("GOOGLEFINANCE(C125,""Price"")"),1790)</f>
        <v>1790</v>
      </c>
      <c r="F125" s="9">
        <f ca="1">IFERROR(__xludf.DUMMYFUNCTION("GOOGLEFINANCE(C125,""change"")"),-7.45)</f>
        <v>-7.45</v>
      </c>
      <c r="G125" s="10">
        <f ca="1">IFERROR(__xludf.DUMMYFUNCTION("GOOGLEFINANCE(C125,""Changepct"")/100"),-0.00409999999999999)</f>
        <v>-4.0999999999999899E-3</v>
      </c>
      <c r="H125" s="11">
        <f ca="1">IFERROR(__xludf.DUMMYFUNCTION("GOOGLEFINANCE(C125,""Marketcap"")"),244421733785)</f>
        <v>244421733785</v>
      </c>
      <c r="I125" s="9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4" x14ac:dyDescent="0.3">
      <c r="A126" s="6" t="s">
        <v>279</v>
      </c>
      <c r="B126" s="6" t="s">
        <v>57</v>
      </c>
      <c r="C126" s="7" t="s">
        <v>280</v>
      </c>
      <c r="D126" s="7" t="s">
        <v>13</v>
      </c>
      <c r="E126" s="8">
        <f ca="1">IFERROR(__xludf.DUMMYFUNCTION("GOOGLEFINANCE(C126,""Price"")"),149.15)</f>
        <v>149.15</v>
      </c>
      <c r="F126" s="9">
        <f ca="1">IFERROR(__xludf.DUMMYFUNCTION("GOOGLEFINANCE(C126,""change"")"),0.8)</f>
        <v>0.8</v>
      </c>
      <c r="G126" s="10">
        <f ca="1">IFERROR(__xludf.DUMMYFUNCTION("GOOGLEFINANCE(C126,""Changepct"")/100"),0.0054)</f>
        <v>5.4000000000000003E-3</v>
      </c>
      <c r="H126" s="11">
        <f ca="1">IFERROR(__xludf.DUMMYFUNCTION("GOOGLEFINANCE(C126,""Marketcap"")"),39809531973)</f>
        <v>39809531973</v>
      </c>
      <c r="I126" s="9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4" x14ac:dyDescent="0.3">
      <c r="A127" s="6" t="s">
        <v>281</v>
      </c>
      <c r="B127" s="6" t="s">
        <v>29</v>
      </c>
      <c r="C127" s="7" t="s">
        <v>282</v>
      </c>
      <c r="D127" s="7" t="s">
        <v>13</v>
      </c>
      <c r="E127" s="8">
        <f ca="1">IFERROR(__xludf.DUMMYFUNCTION("GOOGLEFINANCE(C127,""Price"")"),177.45)</f>
        <v>177.45</v>
      </c>
      <c r="F127" s="9">
        <f ca="1">IFERROR(__xludf.DUMMYFUNCTION("GOOGLEFINANCE(C127,""change"")"),-3.4)</f>
        <v>-3.4</v>
      </c>
      <c r="G127" s="10">
        <f ca="1">IFERROR(__xludf.DUMMYFUNCTION("GOOGLEFINANCE(C127,""Changepct"")/100"),-0.0187999999999999)</f>
        <v>-1.87999999999999E-2</v>
      </c>
      <c r="H127" s="11">
        <f ca="1">IFERROR(__xludf.DUMMYFUNCTION("GOOGLEFINANCE(C127,""Marketcap"")"),96365970945)</f>
        <v>96365970945</v>
      </c>
      <c r="I127" s="9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4" x14ac:dyDescent="0.3">
      <c r="A128" s="6" t="s">
        <v>283</v>
      </c>
      <c r="B128" s="6" t="s">
        <v>157</v>
      </c>
      <c r="C128" s="7" t="s">
        <v>284</v>
      </c>
      <c r="D128" s="7" t="s">
        <v>13</v>
      </c>
      <c r="E128" s="8">
        <f ca="1">IFERROR(__xludf.DUMMYFUNCTION("GOOGLEFINANCE(C128,""Price"")"),867.9)</f>
        <v>867.9</v>
      </c>
      <c r="F128" s="9">
        <f ca="1">IFERROR(__xludf.DUMMYFUNCTION("GOOGLEFINANCE(C128,""change"")"),12.25)</f>
        <v>12.25</v>
      </c>
      <c r="G128" s="10">
        <f ca="1">IFERROR(__xludf.DUMMYFUNCTION("GOOGLEFINANCE(C128,""Changepct"")/100"),0.0143)</f>
        <v>1.43E-2</v>
      </c>
      <c r="H128" s="11">
        <f ca="1">IFERROR(__xludf.DUMMYFUNCTION("GOOGLEFINANCE(C128,""Marketcap"")"),40425325065)</f>
        <v>40425325065</v>
      </c>
      <c r="I128" s="9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4" x14ac:dyDescent="0.3">
      <c r="A129" s="6" t="s">
        <v>285</v>
      </c>
      <c r="B129" s="6" t="s">
        <v>100</v>
      </c>
      <c r="C129" s="7" t="s">
        <v>286</v>
      </c>
      <c r="D129" s="7" t="s">
        <v>13</v>
      </c>
      <c r="E129" s="8">
        <f ca="1">IFERROR(__xludf.DUMMYFUNCTION("GOOGLEFINANCE(C129,""Price"")"),533.2)</f>
        <v>533.20000000000005</v>
      </c>
      <c r="F129" s="9">
        <f ca="1">IFERROR(__xludf.DUMMYFUNCTION("GOOGLEFINANCE(C129,""change"")"),-7.2)</f>
        <v>-7.2</v>
      </c>
      <c r="G129" s="10">
        <f ca="1">IFERROR(__xludf.DUMMYFUNCTION("GOOGLEFINANCE(C129,""Changepct"")/100"),-0.0133)</f>
        <v>-1.3299999999999999E-2</v>
      </c>
      <c r="H129" s="11">
        <f ca="1">IFERROR(__xludf.DUMMYFUNCTION("GOOGLEFINANCE(C129,""Marketcap"")"),78174278093)</f>
        <v>78174278093</v>
      </c>
      <c r="I129" s="9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4" x14ac:dyDescent="0.3">
      <c r="A130" s="6" t="s">
        <v>287</v>
      </c>
      <c r="B130" s="6" t="s">
        <v>288</v>
      </c>
      <c r="C130" s="7" t="s">
        <v>289</v>
      </c>
      <c r="D130" s="7" t="s">
        <v>13</v>
      </c>
      <c r="E130" s="8">
        <f ca="1">IFERROR(__xludf.DUMMYFUNCTION("GOOGLEFINANCE(C130,""Price"")"),13.25)</f>
        <v>13.25</v>
      </c>
      <c r="F130" s="9">
        <f ca="1">IFERROR(__xludf.DUMMYFUNCTION("GOOGLEFINANCE(C130,""change"")"),-0.1)</f>
        <v>-0.1</v>
      </c>
      <c r="G130" s="10">
        <f ca="1">IFERROR(__xludf.DUMMYFUNCTION("GOOGLEFINANCE(C130,""Changepct"")/100"),-0.0075)</f>
        <v>-7.4999999999999997E-3</v>
      </c>
      <c r="H130" s="11">
        <f ca="1">IFERROR(__xludf.DUMMYFUNCTION("GOOGLEFINANCE(C130,""Marketcap"")"),24396910658)</f>
        <v>24396910658</v>
      </c>
      <c r="I130" s="9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4" x14ac:dyDescent="0.3">
      <c r="A131" s="6" t="s">
        <v>290</v>
      </c>
      <c r="B131" s="6" t="s">
        <v>32</v>
      </c>
      <c r="C131" s="7" t="s">
        <v>291</v>
      </c>
      <c r="D131" s="7" t="s">
        <v>13</v>
      </c>
      <c r="E131" s="8">
        <f ca="1">IFERROR(__xludf.DUMMYFUNCTION("GOOGLEFINANCE(C131,""Price"")"),165)</f>
        <v>165</v>
      </c>
      <c r="F131" s="9">
        <f ca="1">IFERROR(__xludf.DUMMYFUNCTION("GOOGLEFINANCE(C131,""change"")"),-25.4)</f>
        <v>-25.4</v>
      </c>
      <c r="G131" s="10">
        <f ca="1">IFERROR(__xludf.DUMMYFUNCTION("GOOGLEFINANCE(C131,""Changepct"")/100"),-0.1334)</f>
        <v>-0.13339999999999999</v>
      </c>
      <c r="H131" s="11">
        <f ca="1">IFERROR(__xludf.DUMMYFUNCTION("GOOGLEFINANCE(C131,""Marketcap"")"),25807963633)</f>
        <v>25807963633</v>
      </c>
      <c r="I131" s="9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4" x14ac:dyDescent="0.3">
      <c r="A132" s="6" t="s">
        <v>292</v>
      </c>
      <c r="B132" s="6" t="s">
        <v>32</v>
      </c>
      <c r="C132" s="7" t="s">
        <v>293</v>
      </c>
      <c r="D132" s="7" t="s">
        <v>22</v>
      </c>
      <c r="E132" s="8">
        <f ca="1">IFERROR(__xludf.DUMMYFUNCTION("GOOGLEFINANCE(C132,""Price"")"),4076)</f>
        <v>4076</v>
      </c>
      <c r="F132" s="9">
        <f ca="1">IFERROR(__xludf.DUMMYFUNCTION("GOOGLEFINANCE(C132,""change"")"),2.4)</f>
        <v>2.4</v>
      </c>
      <c r="G132" s="10">
        <f ca="1">IFERROR(__xludf.DUMMYFUNCTION("GOOGLEFINANCE(C132,""Changepct"")/100"),0.0006)</f>
        <v>5.9999999999999995E-4</v>
      </c>
      <c r="H132" s="11">
        <f ca="1">IFERROR(__xludf.DUMMYFUNCTION("GOOGLEFINANCE(C132,""Marketcap"")"),1082050013600)</f>
        <v>1082050013600</v>
      </c>
      <c r="I132" s="9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4" x14ac:dyDescent="0.3">
      <c r="A133" s="6" t="s">
        <v>294</v>
      </c>
      <c r="B133" s="6" t="s">
        <v>11</v>
      </c>
      <c r="C133" s="7" t="s">
        <v>295</v>
      </c>
      <c r="D133" s="7" t="s">
        <v>13</v>
      </c>
      <c r="E133" s="8">
        <f ca="1">IFERROR(__xludf.DUMMYFUNCTION("GOOGLEFINANCE(C133,""Price"")"),3963.9)</f>
        <v>3963.9</v>
      </c>
      <c r="F133" s="9">
        <f ca="1">IFERROR(__xludf.DUMMYFUNCTION("GOOGLEFINANCE(C133,""change"")"),0.5)</f>
        <v>0.5</v>
      </c>
      <c r="G133" s="10">
        <f ca="1">IFERROR(__xludf.DUMMYFUNCTION("GOOGLEFINANCE(C133,""Changepct"")/100"),0.0001)</f>
        <v>1E-4</v>
      </c>
      <c r="H133" s="11">
        <f ca="1">IFERROR(__xludf.DUMMYFUNCTION("GOOGLEFINANCE(C133,""Marketcap"")"),231705902255)</f>
        <v>231705902255</v>
      </c>
      <c r="I133" s="9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4" x14ac:dyDescent="0.3">
      <c r="A134" s="6" t="s">
        <v>296</v>
      </c>
      <c r="B134" s="6" t="s">
        <v>91</v>
      </c>
      <c r="C134" s="7" t="s">
        <v>297</v>
      </c>
      <c r="D134" s="7" t="s">
        <v>22</v>
      </c>
      <c r="E134" s="8">
        <f ca="1">IFERROR(__xludf.DUMMYFUNCTION("GOOGLEFINANCE(C134,""Price"")"),2775)</f>
        <v>2775</v>
      </c>
      <c r="F134" s="9">
        <f ca="1">IFERROR(__xludf.DUMMYFUNCTION("GOOGLEFINANCE(C134,""change"")"),-58.15)</f>
        <v>-58.15</v>
      </c>
      <c r="G134" s="10">
        <f ca="1">IFERROR(__xludf.DUMMYFUNCTION("GOOGLEFINANCE(C134,""Changepct"")/100"),-0.0204999999999999)</f>
        <v>-2.04999999999999E-2</v>
      </c>
      <c r="H134" s="11">
        <f ca="1">IFERROR(__xludf.DUMMYFUNCTION("GOOGLEFINANCE(C134,""Marketcap"")"),229185696000)</f>
        <v>229185696000</v>
      </c>
      <c r="I134" s="9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4" x14ac:dyDescent="0.3">
      <c r="A135" s="6" t="s">
        <v>298</v>
      </c>
      <c r="B135" s="6" t="s">
        <v>32</v>
      </c>
      <c r="C135" s="7" t="s">
        <v>299</v>
      </c>
      <c r="D135" s="7" t="s">
        <v>22</v>
      </c>
      <c r="E135" s="8">
        <f ca="1">IFERROR(__xludf.DUMMYFUNCTION("GOOGLEFINANCE(C135,""Price"")"),5306.95)</f>
        <v>5306.95</v>
      </c>
      <c r="F135" s="9">
        <f ca="1">IFERROR(__xludf.DUMMYFUNCTION("GOOGLEFINANCE(C135,""change"")"),11)</f>
        <v>11</v>
      </c>
      <c r="G135" s="10">
        <f ca="1">IFERROR(__xludf.DUMMYFUNCTION("GOOGLEFINANCE(C135,""Changepct"")/100"),0.0021)</f>
        <v>2.0999999999999999E-3</v>
      </c>
      <c r="H135" s="11">
        <f ca="1">IFERROR(__xludf.DUMMYFUNCTION("GOOGLEFINANCE(C135,""Marketcap"")"),11899354971)</f>
        <v>11899354971</v>
      </c>
      <c r="I135" s="9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4" x14ac:dyDescent="0.3">
      <c r="A136" s="6" t="s">
        <v>300</v>
      </c>
      <c r="B136" s="6" t="s">
        <v>11</v>
      </c>
      <c r="C136" s="7" t="s">
        <v>301</v>
      </c>
      <c r="D136" s="7" t="s">
        <v>13</v>
      </c>
      <c r="E136" s="8">
        <f ca="1">IFERROR(__xludf.DUMMYFUNCTION("GOOGLEFINANCE(C136,""Price"")"),423)</f>
        <v>423</v>
      </c>
      <c r="F136" s="9">
        <f ca="1">IFERROR(__xludf.DUMMYFUNCTION("GOOGLEFINANCE(C136,""change"")"),-12.9)</f>
        <v>-12.9</v>
      </c>
      <c r="G136" s="10">
        <f ca="1">IFERROR(__xludf.DUMMYFUNCTION("GOOGLEFINANCE(C136,""Changepct"")/100"),-0.0296)</f>
        <v>-2.9600000000000001E-2</v>
      </c>
      <c r="H136" s="11">
        <f ca="1">IFERROR(__xludf.DUMMYFUNCTION("GOOGLEFINANCE(C136,""Marketcap"")"),74574622019)</f>
        <v>74574622019</v>
      </c>
      <c r="I136" s="9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4" x14ac:dyDescent="0.3">
      <c r="A137" s="6" t="s">
        <v>302</v>
      </c>
      <c r="B137" s="6" t="s">
        <v>57</v>
      </c>
      <c r="C137" s="7" t="s">
        <v>303</v>
      </c>
      <c r="D137" s="7" t="s">
        <v>13</v>
      </c>
      <c r="E137" s="8">
        <f ca="1">IFERROR(__xludf.DUMMYFUNCTION("GOOGLEFINANCE(C137,""Price"")"),92.7)</f>
        <v>92.7</v>
      </c>
      <c r="F137" s="9">
        <f ca="1">IFERROR(__xludf.DUMMYFUNCTION("GOOGLEFINANCE(C137,""change"")"),1.15)</f>
        <v>1.1499999999999999</v>
      </c>
      <c r="G137" s="10">
        <f ca="1">IFERROR(__xludf.DUMMYFUNCTION("GOOGLEFINANCE(C137,""Changepct"")/100"),0.0126)</f>
        <v>1.26E-2</v>
      </c>
      <c r="H137" s="11">
        <f ca="1">IFERROR(__xludf.DUMMYFUNCTION("GOOGLEFINANCE(C137,""Marketcap"")"),57971250161)</f>
        <v>57971250161</v>
      </c>
      <c r="I137" s="9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4" x14ac:dyDescent="0.3">
      <c r="A138" s="6" t="s">
        <v>304</v>
      </c>
      <c r="B138" s="6" t="s">
        <v>15</v>
      </c>
      <c r="C138" s="7" t="s">
        <v>305</v>
      </c>
      <c r="D138" s="7" t="s">
        <v>13</v>
      </c>
      <c r="E138" s="8">
        <f ca="1">IFERROR(__xludf.DUMMYFUNCTION("GOOGLEFINANCE(C138,""Price"")"),239.25)</f>
        <v>239.25</v>
      </c>
      <c r="F138" s="9">
        <f ca="1">IFERROR(__xludf.DUMMYFUNCTION("GOOGLEFINANCE(C138,""change"")"),2.8)</f>
        <v>2.8</v>
      </c>
      <c r="G138" s="10">
        <f ca="1">IFERROR(__xludf.DUMMYFUNCTION("GOOGLEFINANCE(C138,""Changepct"")/100"),0.0118)</f>
        <v>1.18E-2</v>
      </c>
      <c r="H138" s="11">
        <f ca="1">IFERROR(__xludf.DUMMYFUNCTION("GOOGLEFINANCE(C138,""Marketcap"")"),75467684856)</f>
        <v>75467684856</v>
      </c>
      <c r="I138" s="9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4" x14ac:dyDescent="0.3">
      <c r="A139" s="6" t="s">
        <v>306</v>
      </c>
      <c r="B139" s="6" t="s">
        <v>29</v>
      </c>
      <c r="C139" s="7" t="s">
        <v>307</v>
      </c>
      <c r="D139" s="7" t="s">
        <v>13</v>
      </c>
      <c r="E139" s="8">
        <f ca="1">IFERROR(__xludf.DUMMYFUNCTION("GOOGLEFINANCE(C139,""Price"")"),61.7)</f>
        <v>61.7</v>
      </c>
      <c r="F139" s="9">
        <f ca="1">IFERROR(__xludf.DUMMYFUNCTION("GOOGLEFINANCE(C139,""change"")"),-1.15)</f>
        <v>-1.1499999999999999</v>
      </c>
      <c r="G139" s="10">
        <f ca="1">IFERROR(__xludf.DUMMYFUNCTION("GOOGLEFINANCE(C139,""Changepct"")/100"),-0.0183)</f>
        <v>-1.83E-2</v>
      </c>
      <c r="H139" s="11">
        <f ca="1">IFERROR(__xludf.DUMMYFUNCTION("GOOGLEFINANCE(C139,""Marketcap"")"),54831794850)</f>
        <v>54831794850</v>
      </c>
      <c r="I139" s="9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4" x14ac:dyDescent="0.3">
      <c r="A140" s="6" t="s">
        <v>308</v>
      </c>
      <c r="B140" s="6" t="s">
        <v>82</v>
      </c>
      <c r="C140" s="7" t="s">
        <v>309</v>
      </c>
      <c r="D140" s="7" t="s">
        <v>22</v>
      </c>
      <c r="E140" s="8">
        <f ca="1">IFERROR(__xludf.DUMMYFUNCTION("GOOGLEFINANCE(C140,""Price"")"),2450)</f>
        <v>2450</v>
      </c>
      <c r="F140" s="9">
        <f ca="1">IFERROR(__xludf.DUMMYFUNCTION("GOOGLEFINANCE(C140,""change"")"),-21.2)</f>
        <v>-21.2</v>
      </c>
      <c r="G140" s="10">
        <f ca="1">IFERROR(__xludf.DUMMYFUNCTION("GOOGLEFINANCE(C140,""Changepct"")/100"),-0.0086)</f>
        <v>-8.6E-3</v>
      </c>
      <c r="H140" s="11">
        <f ca="1">IFERROR(__xludf.DUMMYFUNCTION("GOOGLEFINANCE(C140,""Marketcap"")"),669672955000)</f>
        <v>669672955000</v>
      </c>
      <c r="I140" s="9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4" x14ac:dyDescent="0.3">
      <c r="A141" s="6" t="s">
        <v>310</v>
      </c>
      <c r="B141" s="6" t="s">
        <v>15</v>
      </c>
      <c r="C141" s="7" t="s">
        <v>311</v>
      </c>
      <c r="D141" s="7" t="s">
        <v>13</v>
      </c>
      <c r="E141" s="8">
        <f ca="1">IFERROR(__xludf.DUMMYFUNCTION("GOOGLEFINANCE(C141,""Price"")"),213.95)</f>
        <v>213.95</v>
      </c>
      <c r="F141" s="9">
        <f ca="1">IFERROR(__xludf.DUMMYFUNCTION("GOOGLEFINANCE(C141,""change"")"),0.85)</f>
        <v>0.85</v>
      </c>
      <c r="G141" s="10">
        <f ca="1">IFERROR(__xludf.DUMMYFUNCTION("GOOGLEFINANCE(C141,""Changepct"")/100"),0.004)</f>
        <v>4.0000000000000001E-3</v>
      </c>
      <c r="H141" s="11">
        <f ca="1">IFERROR(__xludf.DUMMYFUNCTION("GOOGLEFINANCE(C141,""Marketcap"")"),67359567300)</f>
        <v>67359567300</v>
      </c>
      <c r="I141" s="9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4" x14ac:dyDescent="0.3">
      <c r="A142" s="6" t="s">
        <v>312</v>
      </c>
      <c r="B142" s="6" t="s">
        <v>11</v>
      </c>
      <c r="C142" s="7" t="s">
        <v>313</v>
      </c>
      <c r="D142" s="7" t="s">
        <v>13</v>
      </c>
      <c r="E142" s="8">
        <f ca="1">IFERROR(__xludf.DUMMYFUNCTION("GOOGLEFINANCE(C142,""Price"")"),487)</f>
        <v>487</v>
      </c>
      <c r="F142" s="9">
        <f ca="1">IFERROR(__xludf.DUMMYFUNCTION("GOOGLEFINANCE(C142,""change"")"),3.05)</f>
        <v>3.05</v>
      </c>
      <c r="G142" s="10">
        <f ca="1">IFERROR(__xludf.DUMMYFUNCTION("GOOGLEFINANCE(C142,""Changepct"")/100"),0.0063)</f>
        <v>6.3E-3</v>
      </c>
      <c r="H142" s="11">
        <f ca="1">IFERROR(__xludf.DUMMYFUNCTION("GOOGLEFINANCE(C142,""Marketcap"")"),216478123200)</f>
        <v>216478123200</v>
      </c>
      <c r="I142" s="9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4" x14ac:dyDescent="0.3">
      <c r="A143" s="6" t="s">
        <v>314</v>
      </c>
      <c r="B143" s="6" t="s">
        <v>82</v>
      </c>
      <c r="C143" s="7" t="s">
        <v>315</v>
      </c>
      <c r="D143" s="7" t="s">
        <v>13</v>
      </c>
      <c r="E143" s="8">
        <f ca="1">IFERROR(__xludf.DUMMYFUNCTION("GOOGLEFINANCE(C143,""Price"")"),1315)</f>
        <v>1315</v>
      </c>
      <c r="F143" s="9">
        <f ca="1">IFERROR(__xludf.DUMMYFUNCTION("GOOGLEFINANCE(C143,""change"")"),-12.05)</f>
        <v>-12.05</v>
      </c>
      <c r="G143" s="10">
        <f ca="1">IFERROR(__xludf.DUMMYFUNCTION("GOOGLEFINANCE(C143,""Changepct"")/100"),-0.0091)</f>
        <v>-9.1000000000000004E-3</v>
      </c>
      <c r="H143" s="11">
        <f ca="1">IFERROR(__xludf.DUMMYFUNCTION("GOOGLEFINANCE(C143,""Marketcap"")"),184971582000)</f>
        <v>184971582000</v>
      </c>
      <c r="I143" s="9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4" x14ac:dyDescent="0.3">
      <c r="A144" s="6" t="s">
        <v>316</v>
      </c>
      <c r="B144" s="6" t="s">
        <v>100</v>
      </c>
      <c r="C144" s="7" t="s">
        <v>317</v>
      </c>
      <c r="D144" s="7" t="s">
        <v>13</v>
      </c>
      <c r="E144" s="8">
        <f ca="1">IFERROR(__xludf.DUMMYFUNCTION("GOOGLEFINANCE(C144,""Price"")"),78.9)</f>
        <v>78.900000000000006</v>
      </c>
      <c r="F144" s="9">
        <f ca="1">IFERROR(__xludf.DUMMYFUNCTION("GOOGLEFINANCE(C144,""change"")"),-3.1)</f>
        <v>-3.1</v>
      </c>
      <c r="G144" s="10">
        <f ca="1">IFERROR(__xludf.DUMMYFUNCTION("GOOGLEFINANCE(C144,""Changepct"")/100"),-0.0378)</f>
        <v>-3.78E-2</v>
      </c>
      <c r="H144" s="11">
        <f ca="1">IFERROR(__xludf.DUMMYFUNCTION("GOOGLEFINANCE(C144,""Marketcap"")"),44343007517)</f>
        <v>44343007517</v>
      </c>
      <c r="I144" s="9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4" x14ac:dyDescent="0.3">
      <c r="A145" s="6" t="s">
        <v>318</v>
      </c>
      <c r="B145" s="6" t="s">
        <v>29</v>
      </c>
      <c r="C145" s="7" t="s">
        <v>319</v>
      </c>
      <c r="D145" s="7" t="s">
        <v>13</v>
      </c>
      <c r="E145" s="8">
        <f ca="1">IFERROR(__xludf.DUMMYFUNCTION("GOOGLEFINANCE(C145,""Price"")"),81.9)</f>
        <v>81.900000000000006</v>
      </c>
      <c r="F145" s="9">
        <f ca="1">IFERROR(__xludf.DUMMYFUNCTION("GOOGLEFINANCE(C145,""change"")"),0.3)</f>
        <v>0.3</v>
      </c>
      <c r="G145" s="10">
        <f ca="1">IFERROR(__xludf.DUMMYFUNCTION("GOOGLEFINANCE(C145,""Changepct"")/100"),0.0037)</f>
        <v>3.7000000000000002E-3</v>
      </c>
      <c r="H145" s="11">
        <f ca="1">IFERROR(__xludf.DUMMYFUNCTION("GOOGLEFINANCE(C145,""Marketcap"")"),27992601521)</f>
        <v>27992601521</v>
      </c>
      <c r="I145" s="9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4" x14ac:dyDescent="0.3">
      <c r="A146" s="6" t="s">
        <v>320</v>
      </c>
      <c r="B146" s="6" t="s">
        <v>32</v>
      </c>
      <c r="C146" s="7" t="s">
        <v>321</v>
      </c>
      <c r="D146" s="7" t="s">
        <v>13</v>
      </c>
      <c r="E146" s="8">
        <f ca="1">IFERROR(__xludf.DUMMYFUNCTION("GOOGLEFINANCE(C146,""Price"")"),655.9)</f>
        <v>655.9</v>
      </c>
      <c r="F146" s="9">
        <f ca="1">IFERROR(__xludf.DUMMYFUNCTION("GOOGLEFINANCE(C146,""change"")"),-5.4)</f>
        <v>-5.4</v>
      </c>
      <c r="G146" s="10">
        <f ca="1">IFERROR(__xludf.DUMMYFUNCTION("GOOGLEFINANCE(C146,""Changepct"")/100"),-0.00819999999999999)</f>
        <v>-8.1999999999999903E-3</v>
      </c>
      <c r="H146" s="11">
        <f ca="1">IFERROR(__xludf.DUMMYFUNCTION("GOOGLEFINANCE(C146,""Marketcap"")"),88658611662)</f>
        <v>88658611662</v>
      </c>
      <c r="I146" s="9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4" x14ac:dyDescent="0.3">
      <c r="A147" s="6" t="s">
        <v>322</v>
      </c>
      <c r="B147" s="6" t="s">
        <v>82</v>
      </c>
      <c r="C147" s="7" t="s">
        <v>323</v>
      </c>
      <c r="D147" s="7" t="s">
        <v>22</v>
      </c>
      <c r="E147" s="8">
        <f ca="1">IFERROR(__xludf.DUMMYFUNCTION("GOOGLEFINANCE(C147,""Price"")"),1172)</f>
        <v>1172</v>
      </c>
      <c r="F147" s="9">
        <f ca="1">IFERROR(__xludf.DUMMYFUNCTION("GOOGLEFINANCE(C147,""change"")"),-3.95)</f>
        <v>-3.95</v>
      </c>
      <c r="G147" s="10">
        <f ca="1">IFERROR(__xludf.DUMMYFUNCTION("GOOGLEFINANCE(C147,""Changepct"")/100"),-0.0034)</f>
        <v>-3.3999999999999998E-3</v>
      </c>
      <c r="H147" s="11">
        <f ca="1">IFERROR(__xludf.DUMMYFUNCTION("GOOGLEFINANCE(C147,""Marketcap"")"),154198819200)</f>
        <v>154198819200</v>
      </c>
      <c r="I147" s="9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4" x14ac:dyDescent="0.3">
      <c r="A148" s="6" t="s">
        <v>324</v>
      </c>
      <c r="B148" s="6" t="s">
        <v>82</v>
      </c>
      <c r="C148" s="7" t="s">
        <v>325</v>
      </c>
      <c r="D148" s="7" t="s">
        <v>22</v>
      </c>
      <c r="E148" s="8">
        <f ca="1">IFERROR(__xludf.DUMMYFUNCTION("GOOGLEFINANCE(C148,""Price"")"),186.7)</f>
        <v>186.7</v>
      </c>
      <c r="F148" s="9">
        <f ca="1">IFERROR(__xludf.DUMMYFUNCTION("GOOGLEFINANCE(C148,""change"")"),0.1)</f>
        <v>0.1</v>
      </c>
      <c r="G148" s="10">
        <f ca="1">IFERROR(__xludf.DUMMYFUNCTION("GOOGLEFINANCE(C148,""Changepct"")/100"),0.0005)</f>
        <v>5.0000000000000001E-4</v>
      </c>
      <c r="H148" s="11">
        <f ca="1">IFERROR(__xludf.DUMMYFUNCTION("GOOGLEFINANCE(C148,""Marketcap"")"),158439955719)</f>
        <v>158439955719</v>
      </c>
      <c r="I148" s="9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4" x14ac:dyDescent="0.3">
      <c r="A149" s="6" t="s">
        <v>326</v>
      </c>
      <c r="B149" s="6" t="s">
        <v>32</v>
      </c>
      <c r="C149" s="7" t="s">
        <v>327</v>
      </c>
      <c r="D149" s="7" t="s">
        <v>13</v>
      </c>
      <c r="E149" s="8">
        <f ca="1">IFERROR(__xludf.DUMMYFUNCTION("GOOGLEFINANCE(C149,""Price"")"),339)</f>
        <v>339</v>
      </c>
      <c r="F149" s="9">
        <f ca="1">IFERROR(__xludf.DUMMYFUNCTION("GOOGLEFINANCE(C149,""change"")"),3.95)</f>
        <v>3.95</v>
      </c>
      <c r="G149" s="10">
        <f ca="1">IFERROR(__xludf.DUMMYFUNCTION("GOOGLEFINANCE(C149,""Changepct"")/100"),0.0118)</f>
        <v>1.18E-2</v>
      </c>
      <c r="H149" s="11">
        <f ca="1">IFERROR(__xludf.DUMMYFUNCTION("GOOGLEFINANCE(C149,""Marketcap"")"),57226590000)</f>
        <v>57226590000</v>
      </c>
      <c r="I149" s="9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4" x14ac:dyDescent="0.3">
      <c r="A150" s="6" t="s">
        <v>328</v>
      </c>
      <c r="B150" s="6" t="s">
        <v>29</v>
      </c>
      <c r="C150" s="7" t="s">
        <v>329</v>
      </c>
      <c r="D150" s="7" t="s">
        <v>22</v>
      </c>
      <c r="E150" s="8">
        <f ca="1">IFERROR(__xludf.DUMMYFUNCTION("GOOGLEFINANCE(C150,""Price"")"),81.85)</f>
        <v>81.849999999999994</v>
      </c>
      <c r="F150" s="9">
        <f ca="1">IFERROR(__xludf.DUMMYFUNCTION("GOOGLEFINANCE(C150,""change"")"),0.05)</f>
        <v>0.05</v>
      </c>
      <c r="G150" s="10">
        <f ca="1">IFERROR(__xludf.DUMMYFUNCTION("GOOGLEFINANCE(C150,""Changepct"")/100"),0.0006)</f>
        <v>5.9999999999999995E-4</v>
      </c>
      <c r="H150" s="11">
        <f ca="1">IFERROR(__xludf.DUMMYFUNCTION("GOOGLEFINANCE(C150,""Marketcap"")"),163094979897)</f>
        <v>163094979897</v>
      </c>
      <c r="I150" s="9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4" x14ac:dyDescent="0.3">
      <c r="A151" s="6" t="s">
        <v>330</v>
      </c>
      <c r="B151" s="6" t="s">
        <v>35</v>
      </c>
      <c r="C151" s="7" t="s">
        <v>331</v>
      </c>
      <c r="D151" s="7" t="s">
        <v>13</v>
      </c>
      <c r="E151" s="8">
        <f ca="1">IFERROR(__xludf.DUMMYFUNCTION("GOOGLEFINANCE(C151,""Price"")"),3214)</f>
        <v>3214</v>
      </c>
      <c r="F151" s="9">
        <f ca="1">IFERROR(__xludf.DUMMYFUNCTION("GOOGLEFINANCE(C151,""change"")"),-76.55)</f>
        <v>-76.55</v>
      </c>
      <c r="G151" s="10">
        <f ca="1">IFERROR(__xludf.DUMMYFUNCTION("GOOGLEFINANCE(C151,""Changepct"")/100"),-0.0233)</f>
        <v>-2.3300000000000001E-2</v>
      </c>
      <c r="H151" s="11">
        <f ca="1">IFERROR(__xludf.DUMMYFUNCTION("GOOGLEFINANCE(C151,""Marketcap"")"),98541175720)</f>
        <v>98541175720</v>
      </c>
      <c r="I151" s="9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4" x14ac:dyDescent="0.3">
      <c r="A152" s="6" t="s">
        <v>332</v>
      </c>
      <c r="B152" s="6" t="s">
        <v>15</v>
      </c>
      <c r="C152" s="7" t="s">
        <v>333</v>
      </c>
      <c r="D152" s="7" t="s">
        <v>13</v>
      </c>
      <c r="E152" s="8">
        <f ca="1">IFERROR(__xludf.DUMMYFUNCTION("GOOGLEFINANCE(C152,""Price"")"),373.95)</f>
        <v>373.95</v>
      </c>
      <c r="F152" s="9">
        <f ca="1">IFERROR(__xludf.DUMMYFUNCTION("GOOGLEFINANCE(C152,""change"")"),14.5)</f>
        <v>14.5</v>
      </c>
      <c r="G152" s="10">
        <f ca="1">IFERROR(__xludf.DUMMYFUNCTION("GOOGLEFINANCE(C152,""Changepct"")/100"),0.0403)</f>
        <v>4.0300000000000002E-2</v>
      </c>
      <c r="H152" s="11">
        <f ca="1">IFERROR(__xludf.DUMMYFUNCTION("GOOGLEFINANCE(C152,""Marketcap"")"),57263027800)</f>
        <v>57263027800</v>
      </c>
      <c r="I152" s="9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4" x14ac:dyDescent="0.3">
      <c r="A153" s="6" t="s">
        <v>334</v>
      </c>
      <c r="B153" s="6" t="s">
        <v>15</v>
      </c>
      <c r="C153" s="7" t="s">
        <v>335</v>
      </c>
      <c r="D153" s="7" t="s">
        <v>13</v>
      </c>
      <c r="E153" s="8">
        <f ca="1">IFERROR(__xludf.DUMMYFUNCTION("GOOGLEFINANCE(C153,""Price"")"),155.65)</f>
        <v>155.65</v>
      </c>
      <c r="F153" s="9">
        <f ca="1">IFERROR(__xludf.DUMMYFUNCTION("GOOGLEFINANCE(C153,""change"")"),0.1)</f>
        <v>0.1</v>
      </c>
      <c r="G153" s="10">
        <f ca="1">IFERROR(__xludf.DUMMYFUNCTION("GOOGLEFINANCE(C153,""Changepct"")/100"),0.0006)</f>
        <v>5.9999999999999995E-4</v>
      </c>
      <c r="H153" s="11">
        <f ca="1">IFERROR(__xludf.DUMMYFUNCTION("GOOGLEFINANCE(C153,""Marketcap"")"),96571723710)</f>
        <v>96571723710</v>
      </c>
      <c r="I153" s="9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4" x14ac:dyDescent="0.3">
      <c r="A154" s="6" t="s">
        <v>336</v>
      </c>
      <c r="B154" s="6" t="s">
        <v>64</v>
      </c>
      <c r="C154" s="7" t="s">
        <v>337</v>
      </c>
      <c r="D154" s="7" t="s">
        <v>13</v>
      </c>
      <c r="E154" s="8">
        <f ca="1">IFERROR(__xludf.DUMMYFUNCTION("GOOGLEFINANCE(C154,""Price"")"),128.7)</f>
        <v>128.69999999999999</v>
      </c>
      <c r="F154" s="9">
        <f ca="1">IFERROR(__xludf.DUMMYFUNCTION("GOOGLEFINANCE(C154,""change"")"),5.55)</f>
        <v>5.55</v>
      </c>
      <c r="G154" s="10">
        <f ca="1">IFERROR(__xludf.DUMMYFUNCTION("GOOGLEFINANCE(C154,""Changepct"")/100"),0.0451)</f>
        <v>4.5100000000000001E-2</v>
      </c>
      <c r="H154" s="11">
        <f ca="1">IFERROR(__xludf.DUMMYFUNCTION("GOOGLEFINANCE(C154,""Marketcap"")"),87061743000)</f>
        <v>87061743000</v>
      </c>
      <c r="I154" s="9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4" x14ac:dyDescent="0.3">
      <c r="A155" s="6" t="s">
        <v>338</v>
      </c>
      <c r="B155" s="6" t="s">
        <v>91</v>
      </c>
      <c r="C155" s="7" t="s">
        <v>339</v>
      </c>
      <c r="D155" s="7" t="s">
        <v>13</v>
      </c>
      <c r="E155" s="8">
        <f ca="1">IFERROR(__xludf.DUMMYFUNCTION("GOOGLEFINANCE(C155,""Price"")"),230.5)</f>
        <v>230.5</v>
      </c>
      <c r="F155" s="9">
        <f ca="1">IFERROR(__xludf.DUMMYFUNCTION("GOOGLEFINANCE(C155,""change"")"),-5.7)</f>
        <v>-5.7</v>
      </c>
      <c r="G155" s="10">
        <f ca="1">IFERROR(__xludf.DUMMYFUNCTION("GOOGLEFINANCE(C155,""Changepct"")/100"),-0.0241)</f>
        <v>-2.41E-2</v>
      </c>
      <c r="H155" s="11">
        <f ca="1">IFERROR(__xludf.DUMMYFUNCTION("GOOGLEFINANCE(C155,""Marketcap"")"),174205697225)</f>
        <v>174205697225</v>
      </c>
      <c r="I155" s="9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4" x14ac:dyDescent="0.3">
      <c r="A156" s="6" t="s">
        <v>340</v>
      </c>
      <c r="B156" s="6" t="s">
        <v>57</v>
      </c>
      <c r="C156" s="7" t="s">
        <v>341</v>
      </c>
      <c r="D156" s="7" t="s">
        <v>13</v>
      </c>
      <c r="E156" s="8">
        <f ca="1">IFERROR(__xludf.DUMMYFUNCTION("GOOGLEFINANCE(C156,""Price"")"),6.8)</f>
        <v>6.8</v>
      </c>
      <c r="F156" s="9">
        <f ca="1">IFERROR(__xludf.DUMMYFUNCTION("GOOGLEFINANCE(C156,""change"")"),0.05)</f>
        <v>0.05</v>
      </c>
      <c r="G156" s="10">
        <f ca="1">IFERROR(__xludf.DUMMYFUNCTION("GOOGLEFINANCE(C156,""Changepct"")/100"),0.0074)</f>
        <v>7.4000000000000003E-3</v>
      </c>
      <c r="H156" s="11">
        <f ca="1">IFERROR(__xludf.DUMMYFUNCTION("GOOGLEFINANCE(C156,""Marketcap"")"),13440134167)</f>
        <v>13440134167</v>
      </c>
      <c r="I156" s="9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4" x14ac:dyDescent="0.3">
      <c r="A157" s="6" t="s">
        <v>342</v>
      </c>
      <c r="B157" s="6" t="s">
        <v>57</v>
      </c>
      <c r="C157" s="7" t="s">
        <v>343</v>
      </c>
      <c r="D157" s="7" t="s">
        <v>13</v>
      </c>
      <c r="E157" s="8">
        <f ca="1">IFERROR(__xludf.DUMMYFUNCTION("GOOGLEFINANCE(C157,""Price"")"),46.15)</f>
        <v>46.15</v>
      </c>
      <c r="F157" s="9">
        <f ca="1">IFERROR(__xludf.DUMMYFUNCTION("GOOGLEFINANCE(C157,""change"")"),0.3)</f>
        <v>0.3</v>
      </c>
      <c r="G157" s="10">
        <f ca="1">IFERROR(__xludf.DUMMYFUNCTION("GOOGLEFINANCE(C157,""Changepct"")/100"),0.0065)</f>
        <v>6.4999999999999997E-3</v>
      </c>
      <c r="H157" s="11">
        <f ca="1">IFERROR(__xludf.DUMMYFUNCTION("GOOGLEFINANCE(C157,""Marketcap"")"),24890831837)</f>
        <v>24890831837</v>
      </c>
      <c r="I157" s="9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4" x14ac:dyDescent="0.3">
      <c r="A158" s="6" t="s">
        <v>344</v>
      </c>
      <c r="B158" s="6" t="s">
        <v>50</v>
      </c>
      <c r="C158" s="7" t="s">
        <v>345</v>
      </c>
      <c r="D158" s="7" t="s">
        <v>22</v>
      </c>
      <c r="E158" s="8">
        <f ca="1">IFERROR(__xludf.DUMMYFUNCTION("GOOGLEFINANCE(C158,""Price"")"),161.2)</f>
        <v>161.19999999999999</v>
      </c>
      <c r="F158" s="9">
        <f ca="1">IFERROR(__xludf.DUMMYFUNCTION("GOOGLEFINANCE(C158,""change"")"),-0.7)</f>
        <v>-0.7</v>
      </c>
      <c r="G158" s="10">
        <f ca="1">IFERROR(__xludf.DUMMYFUNCTION("GOOGLEFINANCE(C158,""Changepct"")/100"),-0.0043)</f>
        <v>-4.3E-3</v>
      </c>
      <c r="H158" s="11">
        <f ca="1">IFERROR(__xludf.DUMMYFUNCTION("GOOGLEFINANCE(C158,""Marketcap"")"),715567079810)</f>
        <v>715567079810</v>
      </c>
      <c r="I158" s="9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4" x14ac:dyDescent="0.3">
      <c r="A159" s="6" t="s">
        <v>346</v>
      </c>
      <c r="B159" s="6" t="s">
        <v>15</v>
      </c>
      <c r="C159" s="7" t="s">
        <v>347</v>
      </c>
      <c r="D159" s="7" t="s">
        <v>13</v>
      </c>
      <c r="E159" s="8">
        <f ca="1">IFERROR(__xludf.DUMMYFUNCTION("GOOGLEFINANCE(C159,""Price"")"),258.45)</f>
        <v>258.45</v>
      </c>
      <c r="F159" s="9">
        <f ca="1">IFERROR(__xludf.DUMMYFUNCTION("GOOGLEFINANCE(C159,""change"")"),-1.4)</f>
        <v>-1.4</v>
      </c>
      <c r="G159" s="10">
        <f ca="1">IFERROR(__xludf.DUMMYFUNCTION("GOOGLEFINANCE(C159,""Changepct"")/100"),-0.0054)</f>
        <v>-5.4000000000000003E-3</v>
      </c>
      <c r="H159" s="11">
        <f ca="1">IFERROR(__xludf.DUMMYFUNCTION("GOOGLEFINANCE(C159,""Marketcap"")"),17395137158)</f>
        <v>17395137158</v>
      </c>
      <c r="I159" s="9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4" x14ac:dyDescent="0.3">
      <c r="A160" s="6" t="s">
        <v>348</v>
      </c>
      <c r="B160" s="6" t="s">
        <v>15</v>
      </c>
      <c r="C160" s="7" t="s">
        <v>349</v>
      </c>
      <c r="D160" s="7" t="s">
        <v>13</v>
      </c>
      <c r="E160" s="8">
        <f ca="1">IFERROR(__xludf.DUMMYFUNCTION("GOOGLEFINANCE(C160,""Price"")"),4500)</f>
        <v>4500</v>
      </c>
      <c r="F160" s="9">
        <f ca="1">IFERROR(__xludf.DUMMYFUNCTION("GOOGLEFINANCE(C160,""change"")"),25.85)</f>
        <v>25.85</v>
      </c>
      <c r="G160" s="10">
        <f ca="1">IFERROR(__xludf.DUMMYFUNCTION("GOOGLEFINANCE(C160,""Changepct"")/100"),0.0058)</f>
        <v>5.7999999999999996E-3</v>
      </c>
      <c r="H160" s="11">
        <f ca="1">IFERROR(__xludf.DUMMYFUNCTION("GOOGLEFINANCE(C160,""Marketcap"")"),65562409031)</f>
        <v>65562409031</v>
      </c>
      <c r="I160" s="9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4" x14ac:dyDescent="0.3">
      <c r="A161" s="6" t="s">
        <v>350</v>
      </c>
      <c r="B161" s="6" t="s">
        <v>100</v>
      </c>
      <c r="C161" s="7" t="s">
        <v>351</v>
      </c>
      <c r="D161" s="7" t="s">
        <v>22</v>
      </c>
      <c r="E161" s="8">
        <f ca="1">IFERROR(__xludf.DUMMYFUNCTION("GOOGLEFINANCE(C161,""Price"")"),25)</f>
        <v>25</v>
      </c>
      <c r="F161" s="9">
        <f ca="1">IFERROR(__xludf.DUMMYFUNCTION("GOOGLEFINANCE(C161,""change"")"),-0.55)</f>
        <v>-0.55000000000000004</v>
      </c>
      <c r="G161" s="10">
        <f ca="1">IFERROR(__xludf.DUMMYFUNCTION("GOOGLEFINANCE(C161,""Changepct"")/100"),-0.0215)</f>
        <v>-2.1499999999999998E-2</v>
      </c>
      <c r="H161" s="11">
        <f ca="1">IFERROR(__xludf.DUMMYFUNCTION("GOOGLEFINANCE(C161,""Marketcap"")"),150898625000)</f>
        <v>150898625000</v>
      </c>
      <c r="I161" s="9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4" x14ac:dyDescent="0.3">
      <c r="A162" s="6" t="s">
        <v>352</v>
      </c>
      <c r="B162" s="6" t="s">
        <v>35</v>
      </c>
      <c r="C162" s="7" t="s">
        <v>353</v>
      </c>
      <c r="D162" s="7" t="s">
        <v>13</v>
      </c>
      <c r="E162" s="8">
        <f ca="1">IFERROR(__xludf.DUMMYFUNCTION("GOOGLEFINANCE(C162,""Price"")"),2875)</f>
        <v>2875</v>
      </c>
      <c r="F162" s="9">
        <f ca="1">IFERROR(__xludf.DUMMYFUNCTION("GOOGLEFINANCE(C162,""change"")"),-3.3)</f>
        <v>-3.3</v>
      </c>
      <c r="G162" s="10">
        <f ca="1">IFERROR(__xludf.DUMMYFUNCTION("GOOGLEFINANCE(C162,""Changepct"")/100"),-0.0011)</f>
        <v>-1.1000000000000001E-3</v>
      </c>
      <c r="H162" s="11">
        <f ca="1">IFERROR(__xludf.DUMMYFUNCTION("GOOGLEFINANCE(C162,""Marketcap"")"),101932377500)</f>
        <v>101932377500</v>
      </c>
      <c r="I162" s="9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4" x14ac:dyDescent="0.3">
      <c r="A163" s="6" t="s">
        <v>354</v>
      </c>
      <c r="B163" s="6" t="s">
        <v>15</v>
      </c>
      <c r="C163" s="7" t="s">
        <v>355</v>
      </c>
      <c r="D163" s="7" t="s">
        <v>13</v>
      </c>
      <c r="E163" s="8">
        <f ca="1">IFERROR(__xludf.DUMMYFUNCTION("GOOGLEFINANCE(C163,""Price"")"),186)</f>
        <v>186</v>
      </c>
      <c r="F163" s="9">
        <f ca="1">IFERROR(__xludf.DUMMYFUNCTION("GOOGLEFINANCE(C163,""change"")"),8.6)</f>
        <v>8.6</v>
      </c>
      <c r="G163" s="10">
        <f ca="1">IFERROR(__xludf.DUMMYFUNCTION("GOOGLEFINANCE(C163,""Changepct"")/100"),0.0484999999999999)</f>
        <v>4.8499999999999897E-2</v>
      </c>
      <c r="H163" s="11">
        <f ca="1">IFERROR(__xludf.DUMMYFUNCTION("GOOGLEFINANCE(C163,""Marketcap"")"),21306672000)</f>
        <v>21306672000</v>
      </c>
      <c r="I163" s="9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4" x14ac:dyDescent="0.3">
      <c r="A164" s="6" t="s">
        <v>356</v>
      </c>
      <c r="B164" s="6" t="s">
        <v>79</v>
      </c>
      <c r="C164" s="7" t="s">
        <v>357</v>
      </c>
      <c r="D164" s="7" t="s">
        <v>13</v>
      </c>
      <c r="E164" s="8">
        <f ca="1">IFERROR(__xludf.DUMMYFUNCTION("GOOGLEFINANCE(C164,""Price"")"),2659)</f>
        <v>2659</v>
      </c>
      <c r="F164" s="9">
        <f ca="1">IFERROR(__xludf.DUMMYFUNCTION("GOOGLEFINANCE(C164,""change"")"),-36.9)</f>
        <v>-36.9</v>
      </c>
      <c r="G164" s="10">
        <f ca="1">IFERROR(__xludf.DUMMYFUNCTION("GOOGLEFINANCE(C164,""Changepct"")/100"),-0.0137)</f>
        <v>-1.37E-2</v>
      </c>
      <c r="H164" s="11">
        <f ca="1">IFERROR(__xludf.DUMMYFUNCTION("GOOGLEFINANCE(C164,""Marketcap"")"),54823687440)</f>
        <v>54823687440</v>
      </c>
      <c r="I164" s="9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4" x14ac:dyDescent="0.3">
      <c r="A165" s="6" t="s">
        <v>358</v>
      </c>
      <c r="B165" s="6" t="s">
        <v>29</v>
      </c>
      <c r="C165" s="7" t="s">
        <v>359</v>
      </c>
      <c r="D165" s="7" t="s">
        <v>13</v>
      </c>
      <c r="E165" s="8">
        <f ca="1">IFERROR(__xludf.DUMMYFUNCTION("GOOGLEFINANCE(C165,""Price"")"),200.7)</f>
        <v>200.7</v>
      </c>
      <c r="F165" s="9">
        <f ca="1">IFERROR(__xludf.DUMMYFUNCTION("GOOGLEFINANCE(C165,""change"")"),-1.35)</f>
        <v>-1.35</v>
      </c>
      <c r="G165" s="10">
        <f ca="1">IFERROR(__xludf.DUMMYFUNCTION("GOOGLEFINANCE(C165,""Changepct"")/100"),-0.0067)</f>
        <v>-6.7000000000000002E-3</v>
      </c>
      <c r="H165" s="11">
        <f ca="1">IFERROR(__xludf.DUMMYFUNCTION("GOOGLEFINANCE(C165,""Marketcap"")"),351669982500)</f>
        <v>351669982500</v>
      </c>
      <c r="I165" s="9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4" x14ac:dyDescent="0.3">
      <c r="A166" s="6" t="s">
        <v>360</v>
      </c>
      <c r="B166" s="6" t="s">
        <v>11</v>
      </c>
      <c r="C166" s="7" t="s">
        <v>361</v>
      </c>
      <c r="D166" s="7" t="s">
        <v>13</v>
      </c>
      <c r="E166" s="8">
        <f ca="1">IFERROR(__xludf.DUMMYFUNCTION("GOOGLEFINANCE(C166,""Price"")"),5556)</f>
        <v>5556</v>
      </c>
      <c r="F166" s="9">
        <f ca="1">IFERROR(__xludf.DUMMYFUNCTION("GOOGLEFINANCE(C166,""change"")"),-8.05)</f>
        <v>-8.0500000000000007</v>
      </c>
      <c r="G166" s="10">
        <f ca="1">IFERROR(__xludf.DUMMYFUNCTION("GOOGLEFINANCE(C166,""Changepct"")/100"),-0.0014)</f>
        <v>-1.4E-3</v>
      </c>
      <c r="H166" s="11">
        <f ca="1">IFERROR(__xludf.DUMMYFUNCTION("GOOGLEFINANCE(C166,""Marketcap"")"),181043482320)</f>
        <v>181043482320</v>
      </c>
      <c r="I166" s="9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4" x14ac:dyDescent="0.3">
      <c r="A167" s="6" t="s">
        <v>362</v>
      </c>
      <c r="B167" s="6" t="s">
        <v>32</v>
      </c>
      <c r="C167" s="7" t="s">
        <v>363</v>
      </c>
      <c r="D167" s="7" t="s">
        <v>13</v>
      </c>
      <c r="E167" s="8">
        <f ca="1">IFERROR(__xludf.DUMMYFUNCTION("GOOGLEFINANCE(C167,""Price"")"),1480)</f>
        <v>1480</v>
      </c>
      <c r="F167" s="9">
        <f ca="1">IFERROR(__xludf.DUMMYFUNCTION("GOOGLEFINANCE(C167,""change"")"),4.25)</f>
        <v>4.25</v>
      </c>
      <c r="G167" s="10">
        <f ca="1">IFERROR(__xludf.DUMMYFUNCTION("GOOGLEFINANCE(C167,""Changepct"")/100"),0.0029)</f>
        <v>2.8999999999999998E-3</v>
      </c>
      <c r="H167" s="11">
        <f ca="1">IFERROR(__xludf.DUMMYFUNCTION("GOOGLEFINANCE(C167,""Marketcap"")"),250720880000)</f>
        <v>250720880000</v>
      </c>
      <c r="I167" s="9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4" x14ac:dyDescent="0.3">
      <c r="A168" s="6" t="s">
        <v>364</v>
      </c>
      <c r="B168" s="6" t="s">
        <v>32</v>
      </c>
      <c r="C168" s="7" t="s">
        <v>365</v>
      </c>
      <c r="D168" s="7" t="s">
        <v>22</v>
      </c>
      <c r="E168" s="8">
        <f ca="1">IFERROR(__xludf.DUMMYFUNCTION("GOOGLEFINANCE(C168,""Price"")"),624.4)</f>
        <v>624.4</v>
      </c>
      <c r="F168" s="9">
        <f ca="1">IFERROR(__xludf.DUMMYFUNCTION("GOOGLEFINANCE(C168,""change"")"),-0.35)</f>
        <v>-0.35</v>
      </c>
      <c r="G168" s="10">
        <f ca="1">IFERROR(__xludf.DUMMYFUNCTION("GOOGLEFINANCE(C168,""Changepct"")/100"),-0.0006)</f>
        <v>-5.9999999999999995E-4</v>
      </c>
      <c r="H168" s="11">
        <f ca="1">IFERROR(__xludf.DUMMYFUNCTION("GOOGLEFINANCE(C168,""Marketcap"")"),176086958333)</f>
        <v>176086958333</v>
      </c>
      <c r="I168" s="9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4" x14ac:dyDescent="0.3">
      <c r="A169" s="6" t="s">
        <v>366</v>
      </c>
      <c r="B169" s="6" t="s">
        <v>11</v>
      </c>
      <c r="C169" s="7" t="s">
        <v>367</v>
      </c>
      <c r="D169" s="7" t="s">
        <v>13</v>
      </c>
      <c r="E169" s="8">
        <f ca="1">IFERROR(__xludf.DUMMYFUNCTION("GOOGLEFINANCE(C169,""Price"")"),857)</f>
        <v>857</v>
      </c>
      <c r="F169" s="9">
        <f ca="1">IFERROR(__xludf.DUMMYFUNCTION("GOOGLEFINANCE(C169,""change"")"),-7.35)</f>
        <v>-7.35</v>
      </c>
      <c r="G169" s="10">
        <f ca="1">IFERROR(__xludf.DUMMYFUNCTION("GOOGLEFINANCE(C169,""Changepct"")/100"),-0.0085)</f>
        <v>-8.5000000000000006E-3</v>
      </c>
      <c r="H169" s="11">
        <f ca="1">IFERROR(__xludf.DUMMYFUNCTION("GOOGLEFINANCE(C169,""Marketcap"")"),44665205255)</f>
        <v>44665205255</v>
      </c>
      <c r="I169" s="9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4" x14ac:dyDescent="0.3">
      <c r="A170" s="6" t="s">
        <v>368</v>
      </c>
      <c r="B170" s="6" t="s">
        <v>11</v>
      </c>
      <c r="C170" s="7" t="s">
        <v>369</v>
      </c>
      <c r="D170" s="7" t="s">
        <v>13</v>
      </c>
      <c r="E170" s="8">
        <f ca="1">IFERROR(__xludf.DUMMYFUNCTION("GOOGLEFINANCE(C170,""Price"")"),532)</f>
        <v>532</v>
      </c>
      <c r="F170" s="9">
        <f ca="1">IFERROR(__xludf.DUMMYFUNCTION("GOOGLEFINANCE(C170,""change"")"),0.5)</f>
        <v>0.5</v>
      </c>
      <c r="G170" s="10">
        <f ca="1">IFERROR(__xludf.DUMMYFUNCTION("GOOGLEFINANCE(C170,""Changepct"")/100"),0.0009)</f>
        <v>8.9999999999999998E-4</v>
      </c>
      <c r="H170" s="11">
        <f ca="1">IFERROR(__xludf.DUMMYFUNCTION("GOOGLEFINANCE(C170,""Marketcap"")"),101882257567)</f>
        <v>101882257567</v>
      </c>
      <c r="I170" s="9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4" x14ac:dyDescent="0.3">
      <c r="A171" s="6" t="s">
        <v>370</v>
      </c>
      <c r="B171" s="6" t="s">
        <v>11</v>
      </c>
      <c r="C171" s="7" t="s">
        <v>371</v>
      </c>
      <c r="D171" s="7" t="s">
        <v>22</v>
      </c>
      <c r="E171" s="8">
        <f ca="1">IFERROR(__xludf.DUMMYFUNCTION("GOOGLEFINANCE(C171,""Price"")"),870.05)</f>
        <v>870.05</v>
      </c>
      <c r="F171" s="9">
        <f ca="1">IFERROR(__xludf.DUMMYFUNCTION("GOOGLEFINANCE(C171,""change"")"),153.85)</f>
        <v>153.85</v>
      </c>
      <c r="G171" s="10">
        <f ca="1">IFERROR(__xludf.DUMMYFUNCTION("GOOGLEFINANCE(C171,""Changepct"")/100"),0.2148)</f>
        <v>0.21479999999999999</v>
      </c>
      <c r="H171" s="11">
        <f ca="1">IFERROR(__xludf.DUMMYFUNCTION("GOOGLEFINANCE(C171,""Marketcap"")"),894783043914)</f>
        <v>894783043914</v>
      </c>
      <c r="I171" s="9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4" x14ac:dyDescent="0.3">
      <c r="A172" s="6" t="s">
        <v>372</v>
      </c>
      <c r="B172" s="6" t="s">
        <v>11</v>
      </c>
      <c r="C172" s="7" t="s">
        <v>373</v>
      </c>
      <c r="D172" s="7" t="s">
        <v>13</v>
      </c>
      <c r="E172" s="8">
        <f ca="1">IFERROR(__xludf.DUMMYFUNCTION("GOOGLEFINANCE(C172,""Price"")"),551)</f>
        <v>551</v>
      </c>
      <c r="F172" s="9">
        <f ca="1">IFERROR(__xludf.DUMMYFUNCTION("GOOGLEFINANCE(C172,""change"")"),41.35)</f>
        <v>41.35</v>
      </c>
      <c r="G172" s="10">
        <f ca="1">IFERROR(__xludf.DUMMYFUNCTION("GOOGLEFINANCE(C172,""Changepct"")/100"),0.0810999999999999)</f>
        <v>8.1099999999999894E-2</v>
      </c>
      <c r="H172" s="11">
        <f ca="1">IFERROR(__xludf.DUMMYFUNCTION("GOOGLEFINANCE(C172,""Marketcap"")"),187486343125)</f>
        <v>187486343125</v>
      </c>
      <c r="I172" s="9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4" x14ac:dyDescent="0.3">
      <c r="A173" s="6" t="s">
        <v>374</v>
      </c>
      <c r="B173" s="6" t="s">
        <v>100</v>
      </c>
      <c r="C173" s="7" t="s">
        <v>375</v>
      </c>
      <c r="D173" s="7" t="s">
        <v>22</v>
      </c>
      <c r="E173" s="8">
        <f ca="1">IFERROR(__xludf.DUMMYFUNCTION("GOOGLEFINANCE(C173,""Price"")"),1243)</f>
        <v>1243</v>
      </c>
      <c r="F173" s="9">
        <f ca="1">IFERROR(__xludf.DUMMYFUNCTION("GOOGLEFINANCE(C173,""change"")"),-16.05)</f>
        <v>-16.05</v>
      </c>
      <c r="G173" s="10">
        <f ca="1">IFERROR(__xludf.DUMMYFUNCTION("GOOGLEFINANCE(C173,""Changepct"")/100"),-0.0127)</f>
        <v>-1.2699999999999999E-2</v>
      </c>
      <c r="H173" s="11">
        <f ca="1">IFERROR(__xludf.DUMMYFUNCTION("GOOGLEFINANCE(C173,""Marketcap"")"),345134507765)</f>
        <v>345134507765</v>
      </c>
      <c r="I173" s="9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4" x14ac:dyDescent="0.3">
      <c r="A174" s="6" t="s">
        <v>376</v>
      </c>
      <c r="B174" s="6" t="s">
        <v>32</v>
      </c>
      <c r="C174" s="7" t="s">
        <v>377</v>
      </c>
      <c r="D174" s="7" t="s">
        <v>22</v>
      </c>
      <c r="E174" s="8">
        <f ca="1">IFERROR(__xludf.DUMMYFUNCTION("GOOGLEFINANCE(C174,""Price"")"),337.7)</f>
        <v>337.7</v>
      </c>
      <c r="F174" s="9">
        <f ca="1">IFERROR(__xludf.DUMMYFUNCTION("GOOGLEFINANCE(C174,""change"")"),-22.2)</f>
        <v>-22.2</v>
      </c>
      <c r="G174" s="10">
        <f ca="1">IFERROR(__xludf.DUMMYFUNCTION("GOOGLEFINANCE(C174,""Changepct"")/100"),-0.0617)</f>
        <v>-6.1699999999999998E-2</v>
      </c>
      <c r="H174" s="11">
        <f ca="1">IFERROR(__xludf.DUMMYFUNCTION("GOOGLEFINANCE(C174,""Marketcap"")"),83342536550)</f>
        <v>83342536550</v>
      </c>
      <c r="I174" s="9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4" x14ac:dyDescent="0.3">
      <c r="A175" s="6" t="s">
        <v>378</v>
      </c>
      <c r="B175" s="6" t="s">
        <v>15</v>
      </c>
      <c r="C175" s="7" t="s">
        <v>379</v>
      </c>
      <c r="D175" s="7" t="s">
        <v>13</v>
      </c>
      <c r="E175" s="8">
        <f ca="1">IFERROR(__xludf.DUMMYFUNCTION("GOOGLEFINANCE(C175,""Price"")"),744.8)</f>
        <v>744.8</v>
      </c>
      <c r="F175" s="9">
        <f ca="1">IFERROR(__xludf.DUMMYFUNCTION("GOOGLEFINANCE(C175,""change"")"),-28.85)</f>
        <v>-28.85</v>
      </c>
      <c r="G175" s="10">
        <f ca="1">IFERROR(__xludf.DUMMYFUNCTION("GOOGLEFINANCE(C175,""Changepct"")/100"),-0.0373)</f>
        <v>-3.73E-2</v>
      </c>
      <c r="H175" s="11">
        <f ca="1">IFERROR(__xludf.DUMMYFUNCTION("GOOGLEFINANCE(C175,""Marketcap"")"),145092086626)</f>
        <v>145092086626</v>
      </c>
      <c r="I175" s="9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4" x14ac:dyDescent="0.3">
      <c r="A176" s="6" t="s">
        <v>380</v>
      </c>
      <c r="B176" s="6" t="s">
        <v>20</v>
      </c>
      <c r="C176" s="7" t="s">
        <v>381</v>
      </c>
      <c r="D176" s="7" t="s">
        <v>22</v>
      </c>
      <c r="E176" s="8">
        <f ca="1">IFERROR(__xludf.DUMMYFUNCTION("GOOGLEFINANCE(C176,""Price"")"),1410)</f>
        <v>1410</v>
      </c>
      <c r="F176" s="9">
        <f ca="1">IFERROR(__xludf.DUMMYFUNCTION("GOOGLEFINANCE(C176,""change"")"),-40.15)</f>
        <v>-40.15</v>
      </c>
      <c r="G176" s="10">
        <f ca="1">IFERROR(__xludf.DUMMYFUNCTION("GOOGLEFINANCE(C176,""Changepct"")/100"),-0.0277)</f>
        <v>-2.7699999999999999E-2</v>
      </c>
      <c r="H176" s="11">
        <f ca="1">IFERROR(__xludf.DUMMYFUNCTION("GOOGLEFINANCE(C176,""Marketcap"")"),925984224000)</f>
        <v>925984224000</v>
      </c>
      <c r="I176" s="9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4" x14ac:dyDescent="0.3">
      <c r="A177" s="6" t="s">
        <v>382</v>
      </c>
      <c r="B177" s="6" t="s">
        <v>47</v>
      </c>
      <c r="C177" s="7" t="s">
        <v>383</v>
      </c>
      <c r="D177" s="7" t="s">
        <v>13</v>
      </c>
      <c r="E177" s="8">
        <f ca="1">IFERROR(__xludf.DUMMYFUNCTION("GOOGLEFINANCE(C177,""Price"")"),378)</f>
        <v>378</v>
      </c>
      <c r="F177" s="9">
        <f ca="1">IFERROR(__xludf.DUMMYFUNCTION("GOOGLEFINANCE(C177,""change"")"),-13.45)</f>
        <v>-13.45</v>
      </c>
      <c r="G177" s="10">
        <f ca="1">IFERROR(__xludf.DUMMYFUNCTION("GOOGLEFINANCE(C177,""Changepct"")/100"),-0.0344)</f>
        <v>-3.44E-2</v>
      </c>
      <c r="H177" s="11">
        <f ca="1">IFERROR(__xludf.DUMMYFUNCTION("GOOGLEFINANCE(C177,""Marketcap"")"),55553299200)</f>
        <v>55553299200</v>
      </c>
      <c r="I177" s="9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4" x14ac:dyDescent="0.3">
      <c r="A178" s="6" t="s">
        <v>384</v>
      </c>
      <c r="B178" s="6" t="s">
        <v>15</v>
      </c>
      <c r="C178" s="7" t="s">
        <v>385</v>
      </c>
      <c r="D178" s="7" t="s">
        <v>13</v>
      </c>
      <c r="E178" s="8">
        <f ca="1">IFERROR(__xludf.DUMMYFUNCTION("GOOGLEFINANCE(C178,""Price"")"),132.7)</f>
        <v>132.69999999999999</v>
      </c>
      <c r="F178" s="9">
        <f ca="1">IFERROR(__xludf.DUMMYFUNCTION("GOOGLEFINANCE(C178,""change"")"),-0.6)</f>
        <v>-0.6</v>
      </c>
      <c r="G178" s="10">
        <f ca="1">IFERROR(__xludf.DUMMYFUNCTION("GOOGLEFINANCE(C178,""Changepct"")/100"),-0.0045)</f>
        <v>-4.4999999999999997E-3</v>
      </c>
      <c r="H178" s="11">
        <f ca="1">IFERROR(__xludf.DUMMYFUNCTION("GOOGLEFINANCE(C178,""Marketcap"")"),30785196614)</f>
        <v>30785196614</v>
      </c>
      <c r="I178" s="9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4" x14ac:dyDescent="0.3">
      <c r="A179" s="6" t="s">
        <v>386</v>
      </c>
      <c r="B179" s="6" t="s">
        <v>15</v>
      </c>
      <c r="C179" s="7" t="s">
        <v>387</v>
      </c>
      <c r="D179" s="7" t="s">
        <v>13</v>
      </c>
      <c r="E179" s="8">
        <f ca="1">IFERROR(__xludf.DUMMYFUNCTION("GOOGLEFINANCE(C179,""Price"")"),1190)</f>
        <v>1190</v>
      </c>
      <c r="F179" s="9">
        <f ca="1">IFERROR(__xludf.DUMMYFUNCTION("GOOGLEFINANCE(C179,""change"")"),-47)</f>
        <v>-47</v>
      </c>
      <c r="G179" s="10">
        <f ca="1">IFERROR(__xludf.DUMMYFUNCTION("GOOGLEFINANCE(C179,""Changepct"")/100"),-0.038)</f>
        <v>-3.7999999999999999E-2</v>
      </c>
      <c r="H179" s="11">
        <f ca="1">IFERROR(__xludf.DUMMYFUNCTION("GOOGLEFINANCE(C179,""Marketcap"")"),131756681000)</f>
        <v>131756681000</v>
      </c>
      <c r="I179" s="9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4" x14ac:dyDescent="0.3">
      <c r="A180" s="6" t="s">
        <v>388</v>
      </c>
      <c r="B180" s="6" t="s">
        <v>35</v>
      </c>
      <c r="C180" s="7" t="s">
        <v>389</v>
      </c>
      <c r="D180" s="7" t="s">
        <v>13</v>
      </c>
      <c r="E180" s="8">
        <f ca="1">IFERROR(__xludf.DUMMYFUNCTION("GOOGLEFINANCE(C180,""Price"")"),435.6)</f>
        <v>435.6</v>
      </c>
      <c r="F180" s="9">
        <f ca="1">IFERROR(__xludf.DUMMYFUNCTION("GOOGLEFINANCE(C180,""change"")"),-7.2)</f>
        <v>-7.2</v>
      </c>
      <c r="G180" s="10">
        <f ca="1">IFERROR(__xludf.DUMMYFUNCTION("GOOGLEFINANCE(C180,""Changepct"")/100"),-0.0163)</f>
        <v>-1.6299999999999999E-2</v>
      </c>
      <c r="H180" s="11">
        <f ca="1">IFERROR(__xludf.DUMMYFUNCTION("GOOGLEFINANCE(C180,""Marketcap"")"),31849362493)</f>
        <v>31849362493</v>
      </c>
      <c r="I180" s="9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4" x14ac:dyDescent="0.3">
      <c r="A181" s="6" t="s">
        <v>390</v>
      </c>
      <c r="B181" s="6" t="s">
        <v>11</v>
      </c>
      <c r="C181" s="7" t="s">
        <v>391</v>
      </c>
      <c r="D181" s="7" t="s">
        <v>13</v>
      </c>
      <c r="E181" s="8">
        <f ca="1">IFERROR(__xludf.DUMMYFUNCTION("GOOGLEFINANCE(C181,""Price"")"),174.6)</f>
        <v>174.6</v>
      </c>
      <c r="F181" s="9">
        <f ca="1">IFERROR(__xludf.DUMMYFUNCTION("GOOGLEFINANCE(C181,""change"")"),-1.35)</f>
        <v>-1.35</v>
      </c>
      <c r="G181" s="10">
        <f ca="1">IFERROR(__xludf.DUMMYFUNCTION("GOOGLEFINANCE(C181,""Changepct"")/100"),-0.0077)</f>
        <v>-7.7000000000000002E-3</v>
      </c>
      <c r="H181" s="11">
        <f ca="1">IFERROR(__xludf.DUMMYFUNCTION("GOOGLEFINANCE(C181,""Marketcap"")"),39755772650)</f>
        <v>39755772650</v>
      </c>
      <c r="I181" s="9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4" x14ac:dyDescent="0.3">
      <c r="A182" s="6" t="s">
        <v>392</v>
      </c>
      <c r="B182" s="6" t="s">
        <v>35</v>
      </c>
      <c r="C182" s="7" t="s">
        <v>393</v>
      </c>
      <c r="D182" s="7" t="s">
        <v>13</v>
      </c>
      <c r="E182" s="8">
        <f ca="1">IFERROR(__xludf.DUMMYFUNCTION("GOOGLEFINANCE(C182,""Price"")"),829)</f>
        <v>829</v>
      </c>
      <c r="F182" s="9">
        <f ca="1">IFERROR(__xludf.DUMMYFUNCTION("GOOGLEFINANCE(C182,""change"")"),-19.8)</f>
        <v>-19.8</v>
      </c>
      <c r="G182" s="10">
        <f ca="1">IFERROR(__xludf.DUMMYFUNCTION("GOOGLEFINANCE(C182,""Changepct"")/100"),-0.0233)</f>
        <v>-2.3300000000000001E-2</v>
      </c>
      <c r="H182" s="11">
        <f ca="1">IFERROR(__xludf.DUMMYFUNCTION("GOOGLEFINANCE(C182,""Marketcap"")"),91065567100)</f>
        <v>91065567100</v>
      </c>
      <c r="I182" s="9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4" x14ac:dyDescent="0.3">
      <c r="A183" s="6" t="s">
        <v>394</v>
      </c>
      <c r="B183" s="6" t="s">
        <v>50</v>
      </c>
      <c r="C183" s="7" t="s">
        <v>395</v>
      </c>
      <c r="D183" s="7" t="s">
        <v>22</v>
      </c>
      <c r="E183" s="8">
        <f ca="1">IFERROR(__xludf.DUMMYFUNCTION("GOOGLEFINANCE(C183,""Price"")"),517.25)</f>
        <v>517.25</v>
      </c>
      <c r="F183" s="9">
        <f ca="1">IFERROR(__xludf.DUMMYFUNCTION("GOOGLEFINANCE(C183,""change"")"),-5.75)</f>
        <v>-5.75</v>
      </c>
      <c r="G183" s="10">
        <f ca="1">IFERROR(__xludf.DUMMYFUNCTION("GOOGLEFINANCE(C183,""Changepct"")/100"),-0.011)</f>
        <v>-1.0999999999999999E-2</v>
      </c>
      <c r="H183" s="11">
        <f ca="1">IFERROR(__xludf.DUMMYFUNCTION("GOOGLEFINANCE(C183,""Marketcap"")"),356859543493)</f>
        <v>356859543493</v>
      </c>
      <c r="I183" s="9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4" x14ac:dyDescent="0.3">
      <c r="A184" s="6" t="s">
        <v>396</v>
      </c>
      <c r="B184" s="6" t="s">
        <v>35</v>
      </c>
      <c r="C184" s="7" t="s">
        <v>397</v>
      </c>
      <c r="D184" s="7" t="s">
        <v>13</v>
      </c>
      <c r="E184" s="8">
        <f ca="1">IFERROR(__xludf.DUMMYFUNCTION("GOOGLEFINANCE(C184,""Price"")"),399)</f>
        <v>399</v>
      </c>
      <c r="F184" s="9">
        <f ca="1">IFERROR(__xludf.DUMMYFUNCTION("GOOGLEFINANCE(C184,""change"")"),-2.55)</f>
        <v>-2.5499999999999998</v>
      </c>
      <c r="G184" s="10">
        <f ca="1">IFERROR(__xludf.DUMMYFUNCTION("GOOGLEFINANCE(C184,""Changepct"")/100"),-0.0064)</f>
        <v>-6.4000000000000003E-3</v>
      </c>
      <c r="H184" s="11">
        <f ca="1">IFERROR(__xludf.DUMMYFUNCTION("GOOGLEFINANCE(C184,""Marketcap"")"),62206185153)</f>
        <v>62206185153</v>
      </c>
      <c r="I184" s="9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4" x14ac:dyDescent="0.3">
      <c r="A185" s="6" t="s">
        <v>398</v>
      </c>
      <c r="B185" s="6" t="s">
        <v>47</v>
      </c>
      <c r="C185" s="7" t="s">
        <v>399</v>
      </c>
      <c r="D185" s="7" t="s">
        <v>13</v>
      </c>
      <c r="E185" s="8">
        <f ca="1">IFERROR(__xludf.DUMMYFUNCTION("GOOGLEFINANCE(C185,""Price"")"),94.35)</f>
        <v>94.35</v>
      </c>
      <c r="F185" s="9">
        <f ca="1">IFERROR(__xludf.DUMMYFUNCTION("GOOGLEFINANCE(C185,""change"")"),1.15)</f>
        <v>1.1499999999999999</v>
      </c>
      <c r="G185" s="10">
        <f ca="1">IFERROR(__xludf.DUMMYFUNCTION("GOOGLEFINANCE(C185,""Changepct"")/100"),0.0123)</f>
        <v>1.23E-2</v>
      </c>
      <c r="H185" s="11">
        <f ca="1">IFERROR(__xludf.DUMMYFUNCTION("GOOGLEFINANCE(C185,""Marketcap"")"),45539517783)</f>
        <v>45539517783</v>
      </c>
      <c r="I185" s="9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4" x14ac:dyDescent="0.3">
      <c r="A186" s="6" t="s">
        <v>400</v>
      </c>
      <c r="B186" s="6" t="s">
        <v>157</v>
      </c>
      <c r="C186" s="7" t="s">
        <v>401</v>
      </c>
      <c r="D186" s="7" t="s">
        <v>13</v>
      </c>
      <c r="E186" s="8">
        <f ca="1">IFERROR(__xludf.DUMMYFUNCTION("GOOGLEFINANCE(C186,""Price"")"),113.85)</f>
        <v>113.85</v>
      </c>
      <c r="F186" s="9">
        <f ca="1">IFERROR(__xludf.DUMMYFUNCTION("GOOGLEFINANCE(C186,""change"")"),-2.7)</f>
        <v>-2.7</v>
      </c>
      <c r="G186" s="10">
        <f ca="1">IFERROR(__xludf.DUMMYFUNCTION("GOOGLEFINANCE(C186,""Changepct"")/100"),-0.0232)</f>
        <v>-2.3199999999999998E-2</v>
      </c>
      <c r="H186" s="11">
        <f ca="1">IFERROR(__xludf.DUMMYFUNCTION("GOOGLEFINANCE(C186,""Marketcap"")"),45505715468)</f>
        <v>45505715468</v>
      </c>
      <c r="I186" s="9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4" x14ac:dyDescent="0.3">
      <c r="A187" s="6" t="s">
        <v>402</v>
      </c>
      <c r="B187" s="6" t="s">
        <v>50</v>
      </c>
      <c r="C187" s="7" t="s">
        <v>403</v>
      </c>
      <c r="D187" s="7" t="s">
        <v>13</v>
      </c>
      <c r="E187" s="8">
        <f ca="1">IFERROR(__xludf.DUMMYFUNCTION("GOOGLEFINANCE(C187,""Price"")"),273.45)</f>
        <v>273.45</v>
      </c>
      <c r="F187" s="9">
        <f ca="1">IFERROR(__xludf.DUMMYFUNCTION("GOOGLEFINANCE(C187,""change"")"),2.1)</f>
        <v>2.1</v>
      </c>
      <c r="G187" s="10">
        <f ca="1">IFERROR(__xludf.DUMMYFUNCTION("GOOGLEFINANCE(C187,""Changepct"")/100"),0.0077)</f>
        <v>7.7000000000000002E-3</v>
      </c>
      <c r="H187" s="11">
        <f ca="1">IFERROR(__xludf.DUMMYFUNCTION("GOOGLEFINANCE(C187,""Marketcap"")"),154283641562)</f>
        <v>154283641562</v>
      </c>
      <c r="I187" s="9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4" x14ac:dyDescent="0.3">
      <c r="A188" s="6" t="s">
        <v>404</v>
      </c>
      <c r="B188" s="6" t="s">
        <v>50</v>
      </c>
      <c r="C188" s="7" t="s">
        <v>405</v>
      </c>
      <c r="D188" s="7" t="s">
        <v>13</v>
      </c>
      <c r="E188" s="8">
        <f ca="1">IFERROR(__xludf.DUMMYFUNCTION("GOOGLEFINANCE(C188,""Price"")"),707.9)</f>
        <v>707.9</v>
      </c>
      <c r="F188" s="9">
        <f ca="1">IFERROR(__xludf.DUMMYFUNCTION("GOOGLEFINANCE(C188,""change"")"),18.65)</f>
        <v>18.649999999999999</v>
      </c>
      <c r="G188" s="10">
        <f ca="1">IFERROR(__xludf.DUMMYFUNCTION("GOOGLEFINANCE(C188,""Changepct"")/100"),0.0271)</f>
        <v>2.7099999999999999E-2</v>
      </c>
      <c r="H188" s="11">
        <f ca="1">IFERROR(__xludf.DUMMYFUNCTION("GOOGLEFINANCE(C188,""Marketcap"")"),35614110436)</f>
        <v>35614110436</v>
      </c>
      <c r="I188" s="9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4" x14ac:dyDescent="0.3">
      <c r="A189" s="6" t="s">
        <v>406</v>
      </c>
      <c r="B189" s="6" t="s">
        <v>15</v>
      </c>
      <c r="C189" s="7" t="s">
        <v>407</v>
      </c>
      <c r="D189" s="7" t="s">
        <v>13</v>
      </c>
      <c r="E189" s="8">
        <f ca="1">IFERROR(__xludf.DUMMYFUNCTION("GOOGLEFINANCE(C189,""Price"")"),2172.05)</f>
        <v>2172.0500000000002</v>
      </c>
      <c r="F189" s="9">
        <f ca="1">IFERROR(__xludf.DUMMYFUNCTION("GOOGLEFINANCE(C189,""change"")"),-76.1)</f>
        <v>-76.099999999999994</v>
      </c>
      <c r="G189" s="10">
        <f ca="1">IFERROR(__xludf.DUMMYFUNCTION("GOOGLEFINANCE(C189,""Changepct"")/100"),-0.0338)</f>
        <v>-3.3799999999999997E-2</v>
      </c>
      <c r="H189" s="11">
        <f ca="1">IFERROR(__xludf.DUMMYFUNCTION("GOOGLEFINANCE(C189,""Marketcap"")"),83551970553)</f>
        <v>83551970553</v>
      </c>
      <c r="I189" s="9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4" x14ac:dyDescent="0.3">
      <c r="A190" s="6" t="s">
        <v>408</v>
      </c>
      <c r="B190" s="6" t="s">
        <v>64</v>
      </c>
      <c r="C190" s="7" t="s">
        <v>409</v>
      </c>
      <c r="D190" s="7" t="s">
        <v>22</v>
      </c>
      <c r="E190" s="8">
        <f ca="1">IFERROR(__xludf.DUMMYFUNCTION("GOOGLEFINANCE(C190,""Price"")"),908.9)</f>
        <v>908.9</v>
      </c>
      <c r="F190" s="9">
        <f ca="1">IFERROR(__xludf.DUMMYFUNCTION("GOOGLEFINANCE(C190,""change"")"),1.6)</f>
        <v>1.6</v>
      </c>
      <c r="G190" s="10">
        <f ca="1">IFERROR(__xludf.DUMMYFUNCTION("GOOGLEFINANCE(C190,""Changepct"")/100"),0.0018)</f>
        <v>1.8E-3</v>
      </c>
      <c r="H190" s="11">
        <f ca="1">IFERROR(__xludf.DUMMYFUNCTION("GOOGLEFINANCE(C190,""Marketcap"")"),2459664906250)</f>
        <v>2459664906250</v>
      </c>
      <c r="I190" s="9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4" x14ac:dyDescent="0.3">
      <c r="A191" s="6" t="s">
        <v>410</v>
      </c>
      <c r="B191" s="6" t="s">
        <v>29</v>
      </c>
      <c r="C191" s="7" t="s">
        <v>411</v>
      </c>
      <c r="D191" s="7" t="s">
        <v>22</v>
      </c>
      <c r="E191" s="8">
        <f ca="1">IFERROR(__xludf.DUMMYFUNCTION("GOOGLEFINANCE(C191,""Price"")"),2818)</f>
        <v>2818</v>
      </c>
      <c r="F191" s="9">
        <f ca="1">IFERROR(__xludf.DUMMYFUNCTION("GOOGLEFINANCE(C191,""change"")"),21.9)</f>
        <v>21.9</v>
      </c>
      <c r="G191" s="10">
        <f ca="1">IFERROR(__xludf.DUMMYFUNCTION("GOOGLEFINANCE(C191,""Changepct"")/100"),0.0078)</f>
        <v>7.7999999999999996E-3</v>
      </c>
      <c r="H191" s="11">
        <f ca="1">IFERROR(__xludf.DUMMYFUNCTION("GOOGLEFINANCE(C191,""Marketcap"")"),599518323938)</f>
        <v>599518323938</v>
      </c>
      <c r="I191" s="9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4" x14ac:dyDescent="0.3">
      <c r="A192" s="6" t="s">
        <v>412</v>
      </c>
      <c r="B192" s="6" t="s">
        <v>29</v>
      </c>
      <c r="C192" s="7" t="s">
        <v>413</v>
      </c>
      <c r="D192" s="7" t="s">
        <v>22</v>
      </c>
      <c r="E192" s="8">
        <f ca="1">IFERROR(__xludf.DUMMYFUNCTION("GOOGLEFINANCE(C192,""Price"")"),1399.05)</f>
        <v>1399.05</v>
      </c>
      <c r="F192" s="9">
        <f ca="1">IFERROR(__xludf.DUMMYFUNCTION("GOOGLEFINANCE(C192,""change"")"),-4.5)</f>
        <v>-4.5</v>
      </c>
      <c r="G192" s="10">
        <f ca="1">IFERROR(__xludf.DUMMYFUNCTION("GOOGLEFINANCE(C192,""Changepct"")/100"),-0.0032)</f>
        <v>-3.2000000000000002E-3</v>
      </c>
      <c r="H192" s="11">
        <f ca="1">IFERROR(__xludf.DUMMYFUNCTION("GOOGLEFINANCE(C192,""Marketcap"")"),104246538902)</f>
        <v>104246538902</v>
      </c>
      <c r="I192" s="9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4" x14ac:dyDescent="0.3">
      <c r="A193" s="6" t="s">
        <v>414</v>
      </c>
      <c r="B193" s="6" t="s">
        <v>29</v>
      </c>
      <c r="C193" s="7" t="s">
        <v>415</v>
      </c>
      <c r="D193" s="7" t="s">
        <v>22</v>
      </c>
      <c r="E193" s="8">
        <f ca="1">IFERROR(__xludf.DUMMYFUNCTION("GOOGLEFINANCE(C193,""Price"")"),668.7)</f>
        <v>668.7</v>
      </c>
      <c r="F193" s="9">
        <f ca="1">IFERROR(__xludf.DUMMYFUNCTION("GOOGLEFINANCE(C193,""change"")"),-2.55)</f>
        <v>-2.5499999999999998</v>
      </c>
      <c r="G193" s="10">
        <f ca="1">IFERROR(__xludf.DUMMYFUNCTION("GOOGLEFINANCE(C193,""Changepct"")/100"),-0.0038)</f>
        <v>-3.8E-3</v>
      </c>
      <c r="H193" s="11">
        <f ca="1">IFERROR(__xludf.DUMMYFUNCTION("GOOGLEFINANCE(C193,""Marketcap"")"),1350902418750)</f>
        <v>1350902418750</v>
      </c>
      <c r="I193" s="9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4" x14ac:dyDescent="0.3">
      <c r="A194" s="6" t="s">
        <v>416</v>
      </c>
      <c r="B194" s="6" t="s">
        <v>174</v>
      </c>
      <c r="C194" s="7" t="s">
        <v>417</v>
      </c>
      <c r="D194" s="7" t="s">
        <v>13</v>
      </c>
      <c r="E194" s="8">
        <f ca="1">IFERROR(__xludf.DUMMYFUNCTION("GOOGLEFINANCE(C194,""Price"")"),36.1)</f>
        <v>36.1</v>
      </c>
      <c r="F194" s="9">
        <f ca="1">IFERROR(__xludf.DUMMYFUNCTION("GOOGLEFINANCE(C194,""change"")"),-0.95)</f>
        <v>-0.95</v>
      </c>
      <c r="G194" s="10">
        <f ca="1">IFERROR(__xludf.DUMMYFUNCTION("GOOGLEFINANCE(C194,""Changepct"")/100"),-0.0256)</f>
        <v>-2.5600000000000001E-2</v>
      </c>
      <c r="H194" s="11">
        <f ca="1">IFERROR(__xludf.DUMMYFUNCTION("GOOGLEFINANCE(C194,""Marketcap"")"),46109136259)</f>
        <v>46109136259</v>
      </c>
      <c r="I194" s="9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4" x14ac:dyDescent="0.3">
      <c r="A195" s="6" t="s">
        <v>418</v>
      </c>
      <c r="B195" s="6" t="s">
        <v>64</v>
      </c>
      <c r="C195" s="7" t="s">
        <v>419</v>
      </c>
      <c r="D195" s="7" t="s">
        <v>13</v>
      </c>
      <c r="E195" s="8">
        <f ca="1">IFERROR(__xludf.DUMMYFUNCTION("GOOGLEFINANCE(C195,""Price"")"),793.4)</f>
        <v>793.4</v>
      </c>
      <c r="F195" s="9">
        <f ca="1">IFERROR(__xludf.DUMMYFUNCTION("GOOGLEFINANCE(C195,""change"")"),-48.55)</f>
        <v>-48.55</v>
      </c>
      <c r="G195" s="10">
        <f ca="1">IFERROR(__xludf.DUMMYFUNCTION("GOOGLEFINANCE(C195,""Changepct"")/100"),-0.0576999999999999)</f>
        <v>-5.7699999999999897E-2</v>
      </c>
      <c r="H195" s="11">
        <f ca="1">IFERROR(__xludf.DUMMYFUNCTION("GOOGLEFINANCE(C195,""Marketcap"")"),116600605000)</f>
        <v>116600605000</v>
      </c>
      <c r="I195" s="9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4" x14ac:dyDescent="0.3">
      <c r="A196" s="6" t="s">
        <v>420</v>
      </c>
      <c r="B196" s="6" t="s">
        <v>11</v>
      </c>
      <c r="C196" s="7" t="s">
        <v>421</v>
      </c>
      <c r="D196" s="7" t="s">
        <v>13</v>
      </c>
      <c r="E196" s="8">
        <f ca="1">IFERROR(__xludf.DUMMYFUNCTION("GOOGLEFINANCE(C196,""Price"")"),842)</f>
        <v>842</v>
      </c>
      <c r="F196" s="9">
        <f ca="1">IFERROR(__xludf.DUMMYFUNCTION("GOOGLEFINANCE(C196,""change"")"),3.15)</f>
        <v>3.15</v>
      </c>
      <c r="G196" s="10">
        <f ca="1">IFERROR(__xludf.DUMMYFUNCTION("GOOGLEFINANCE(C196,""Changepct"")/100"),0.0038)</f>
        <v>3.8E-3</v>
      </c>
      <c r="H196" s="11">
        <f ca="1">IFERROR(__xludf.DUMMYFUNCTION("GOOGLEFINANCE(C196,""Marketcap"")"),181062336000)</f>
        <v>181062336000</v>
      </c>
      <c r="I196" s="9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4" x14ac:dyDescent="0.3">
      <c r="A197" s="6" t="s">
        <v>422</v>
      </c>
      <c r="B197" s="6" t="s">
        <v>11</v>
      </c>
      <c r="C197" s="7" t="s">
        <v>423</v>
      </c>
      <c r="D197" s="7" t="s">
        <v>22</v>
      </c>
      <c r="E197" s="8">
        <f ca="1">IFERROR(__xludf.DUMMYFUNCTION("GOOGLEFINANCE(C197,""Price"")"),1010.95)</f>
        <v>1010.95</v>
      </c>
      <c r="F197" s="9">
        <f ca="1">IFERROR(__xludf.DUMMYFUNCTION("GOOGLEFINANCE(C197,""change"")"),-18.7)</f>
        <v>-18.7</v>
      </c>
      <c r="G197" s="10">
        <f ca="1">IFERROR(__xludf.DUMMYFUNCTION("GOOGLEFINANCE(C197,""Changepct"")/100"),-0.0182)</f>
        <v>-1.8200000000000001E-2</v>
      </c>
      <c r="H197" s="11">
        <f ca="1">IFERROR(__xludf.DUMMYFUNCTION("GOOGLEFINANCE(C197,""Marketcap"")"),633419501306)</f>
        <v>633419501306</v>
      </c>
      <c r="I197" s="9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4" x14ac:dyDescent="0.3">
      <c r="A198" s="6" t="s">
        <v>424</v>
      </c>
      <c r="B198" s="6" t="s">
        <v>20</v>
      </c>
      <c r="C198" s="7" t="s">
        <v>425</v>
      </c>
      <c r="D198" s="7" t="s">
        <v>13</v>
      </c>
      <c r="E198" s="8">
        <f ca="1">IFERROR(__xludf.DUMMYFUNCTION("GOOGLEFINANCE(C198,""Price"")"),249.8)</f>
        <v>249.8</v>
      </c>
      <c r="F198" s="9">
        <f ca="1">IFERROR(__xludf.DUMMYFUNCTION("GOOGLEFINANCE(C198,""change"")"),3.2)</f>
        <v>3.2</v>
      </c>
      <c r="G198" s="10">
        <f ca="1">IFERROR(__xludf.DUMMYFUNCTION("GOOGLEFINANCE(C198,""Changepct"")/100"),0.013)</f>
        <v>1.2999999999999999E-2</v>
      </c>
      <c r="H198" s="11">
        <f ca="1">IFERROR(__xludf.DUMMYFUNCTION("GOOGLEFINANCE(C198,""Marketcap"")"),56425775959)</f>
        <v>56425775959</v>
      </c>
      <c r="I198" s="9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4" x14ac:dyDescent="0.3">
      <c r="A199" s="6" t="s">
        <v>426</v>
      </c>
      <c r="B199" s="6" t="s">
        <v>100</v>
      </c>
      <c r="C199" s="7" t="s">
        <v>427</v>
      </c>
      <c r="D199" s="7" t="s">
        <v>13</v>
      </c>
      <c r="E199" s="8">
        <f ca="1">IFERROR(__xludf.DUMMYFUNCTION("GOOGLEFINANCE(C199,""Price"")"),135)</f>
        <v>135</v>
      </c>
      <c r="F199" s="9">
        <f ca="1">IFERROR(__xludf.DUMMYFUNCTION("GOOGLEFINANCE(C199,""change"")"),2.65)</f>
        <v>2.65</v>
      </c>
      <c r="G199" s="10">
        <f ca="1">IFERROR(__xludf.DUMMYFUNCTION("GOOGLEFINANCE(C199,""Changepct"")/100"),0.02)</f>
        <v>0.02</v>
      </c>
      <c r="H199" s="11">
        <f ca="1">IFERROR(__xludf.DUMMYFUNCTION("GOOGLEFINANCE(C199,""Marketcap"")"),38289315490)</f>
        <v>38289315490</v>
      </c>
      <c r="I199" s="9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4" x14ac:dyDescent="0.3">
      <c r="A200" s="6" t="s">
        <v>428</v>
      </c>
      <c r="B200" s="6" t="s">
        <v>82</v>
      </c>
      <c r="C200" s="7" t="s">
        <v>429</v>
      </c>
      <c r="D200" s="7" t="s">
        <v>22</v>
      </c>
      <c r="E200" s="8">
        <f ca="1">IFERROR(__xludf.DUMMYFUNCTION("GOOGLEFINANCE(C200,""Price"")"),2842)</f>
        <v>2842</v>
      </c>
      <c r="F200" s="9">
        <f ca="1">IFERROR(__xludf.DUMMYFUNCTION("GOOGLEFINANCE(C200,""change"")"),3.65)</f>
        <v>3.65</v>
      </c>
      <c r="G200" s="10">
        <f ca="1">IFERROR(__xludf.DUMMYFUNCTION("GOOGLEFINANCE(C200,""Changepct"")/100"),0.0013)</f>
        <v>1.2999999999999999E-3</v>
      </c>
      <c r="H200" s="11">
        <f ca="1">IFERROR(__xludf.DUMMYFUNCTION("GOOGLEFINANCE(C200,""Marketcap"")"),567892887900)</f>
        <v>567892887900</v>
      </c>
      <c r="I200" s="9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4" x14ac:dyDescent="0.3">
      <c r="A201" s="6" t="s">
        <v>430</v>
      </c>
      <c r="B201" s="6" t="s">
        <v>35</v>
      </c>
      <c r="C201" s="7" t="s">
        <v>431</v>
      </c>
      <c r="D201" s="7" t="s">
        <v>13</v>
      </c>
      <c r="E201" s="8">
        <f ca="1">IFERROR(__xludf.DUMMYFUNCTION("GOOGLEFINANCE(C201,""Price"")"),49.6)</f>
        <v>49.6</v>
      </c>
      <c r="F201" s="9">
        <f ca="1">IFERROR(__xludf.DUMMYFUNCTION("GOOGLEFINANCE(C201,""change"")"),-1.55)</f>
        <v>-1.55</v>
      </c>
      <c r="G201" s="10">
        <f ca="1">IFERROR(__xludf.DUMMYFUNCTION("GOOGLEFINANCE(C201,""Changepct"")/100"),-0.0302999999999999)</f>
        <v>-3.02999999999999E-2</v>
      </c>
      <c r="H201" s="11">
        <f ca="1">IFERROR(__xludf.DUMMYFUNCTION("GOOGLEFINANCE(C201,""Marketcap"")"),20821974354)</f>
        <v>20821974354</v>
      </c>
      <c r="I201" s="9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4" x14ac:dyDescent="0.3">
      <c r="A202" s="6" t="s">
        <v>432</v>
      </c>
      <c r="B202" s="6" t="s">
        <v>26</v>
      </c>
      <c r="C202" s="7" t="s">
        <v>433</v>
      </c>
      <c r="D202" s="7" t="s">
        <v>22</v>
      </c>
      <c r="E202" s="8">
        <f ca="1">IFERROR(__xludf.DUMMYFUNCTION("GOOGLEFINANCE(C202,""Price"")"),398.5)</f>
        <v>398.5</v>
      </c>
      <c r="F202" s="9">
        <f ca="1">IFERROR(__xludf.DUMMYFUNCTION("GOOGLEFINANCE(C202,""change"")"),-14.3)</f>
        <v>-14.3</v>
      </c>
      <c r="G202" s="10">
        <f ca="1">IFERROR(__xludf.DUMMYFUNCTION("GOOGLEFINANCE(C202,""Changepct"")/100"),-0.0346)</f>
        <v>-3.4599999999999999E-2</v>
      </c>
      <c r="H202" s="11">
        <f ca="1">IFERROR(__xludf.DUMMYFUNCTION("GOOGLEFINANCE(C202,""Marketcap"")"),893322064250)</f>
        <v>893322064250</v>
      </c>
      <c r="I202" s="9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4" x14ac:dyDescent="0.3">
      <c r="A203" s="6" t="s">
        <v>434</v>
      </c>
      <c r="B203" s="6" t="s">
        <v>15</v>
      </c>
      <c r="C203" s="7" t="s">
        <v>435</v>
      </c>
      <c r="D203" s="7" t="s">
        <v>13</v>
      </c>
      <c r="E203" s="8">
        <f ca="1">IFERROR(__xludf.DUMMYFUNCTION("GOOGLEFINANCE(C203,""Price"")"),1006.85)</f>
        <v>1006.85</v>
      </c>
      <c r="F203" s="9">
        <f ca="1">IFERROR(__xludf.DUMMYFUNCTION("GOOGLEFINANCE(C203,""change"")"),6.55)</f>
        <v>6.55</v>
      </c>
      <c r="G203" s="10">
        <f ca="1">IFERROR(__xludf.DUMMYFUNCTION("GOOGLEFINANCE(C203,""Changepct"")/100"),0.0065)</f>
        <v>6.4999999999999997E-3</v>
      </c>
      <c r="H203" s="11">
        <f ca="1">IFERROR(__xludf.DUMMYFUNCTION("GOOGLEFINANCE(C203,""Marketcap"")"),336911346358)</f>
        <v>336911346358</v>
      </c>
      <c r="I203" s="9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4" x14ac:dyDescent="0.3">
      <c r="A204" s="6" t="s">
        <v>436</v>
      </c>
      <c r="B204" s="6" t="s">
        <v>26</v>
      </c>
      <c r="C204" s="7" t="s">
        <v>437</v>
      </c>
      <c r="D204" s="7" t="s">
        <v>13</v>
      </c>
      <c r="E204" s="8">
        <f ca="1">IFERROR(__xludf.DUMMYFUNCTION("GOOGLEFINANCE(C204,""Price"")"),175.8)</f>
        <v>175.8</v>
      </c>
      <c r="F204" s="9">
        <f ca="1">IFERROR(__xludf.DUMMYFUNCTION("GOOGLEFINANCE(C204,""change"")"),-9.75)</f>
        <v>-9.75</v>
      </c>
      <c r="G204" s="10">
        <f ca="1">IFERROR(__xludf.DUMMYFUNCTION("GOOGLEFINANCE(C204,""Changepct"")/100"),-0.0525)</f>
        <v>-5.2499999999999998E-2</v>
      </c>
      <c r="H204" s="11">
        <f ca="1">IFERROR(__xludf.DUMMYFUNCTION("GOOGLEFINANCE(C204,""Marketcap"")"),169862902250)</f>
        <v>169862902250</v>
      </c>
      <c r="I204" s="9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4" x14ac:dyDescent="0.3">
      <c r="A205" s="6" t="s">
        <v>438</v>
      </c>
      <c r="B205" s="6" t="s">
        <v>50</v>
      </c>
      <c r="C205" s="7" t="s">
        <v>439</v>
      </c>
      <c r="D205" s="7" t="s">
        <v>22</v>
      </c>
      <c r="E205" s="8">
        <f ca="1">IFERROR(__xludf.DUMMYFUNCTION("GOOGLEFINANCE(C205,""Price"")"),261.95)</f>
        <v>261.95</v>
      </c>
      <c r="F205" s="9">
        <f ca="1">IFERROR(__xludf.DUMMYFUNCTION("GOOGLEFINANCE(C205,""change"")"),-3.65)</f>
        <v>-3.65</v>
      </c>
      <c r="G205" s="10">
        <f ca="1">IFERROR(__xludf.DUMMYFUNCTION("GOOGLEFINANCE(C205,""Changepct"")/100"),-0.0137)</f>
        <v>-1.37E-2</v>
      </c>
      <c r="H205" s="11">
        <f ca="1">IFERROR(__xludf.DUMMYFUNCTION("GOOGLEFINANCE(C205,""Marketcap"")"),381581787477)</f>
        <v>381581787477</v>
      </c>
      <c r="I205" s="9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4" x14ac:dyDescent="0.3">
      <c r="A206" s="6" t="s">
        <v>440</v>
      </c>
      <c r="B206" s="6" t="s">
        <v>11</v>
      </c>
      <c r="C206" s="7" t="s">
        <v>441</v>
      </c>
      <c r="D206" s="7" t="s">
        <v>22</v>
      </c>
      <c r="E206" s="8">
        <f ca="1">IFERROR(__xludf.DUMMYFUNCTION("GOOGLEFINANCE(C206,""Price"")"),2329.45)</f>
        <v>2329.4499999999998</v>
      </c>
      <c r="F206" s="9">
        <f ca="1">IFERROR(__xludf.DUMMYFUNCTION("GOOGLEFINANCE(C206,""change"")"),-72.65)</f>
        <v>-72.650000000000006</v>
      </c>
      <c r="G206" s="10">
        <f ca="1">IFERROR(__xludf.DUMMYFUNCTION("GOOGLEFINANCE(C206,""Changepct"")/100"),-0.0302)</f>
        <v>-3.0200000000000001E-2</v>
      </c>
      <c r="H206" s="11">
        <f ca="1">IFERROR(__xludf.DUMMYFUNCTION("GOOGLEFINANCE(C206,""Marketcap"")"),5470437818936)</f>
        <v>5470437818936</v>
      </c>
      <c r="I206" s="9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4" x14ac:dyDescent="0.3">
      <c r="A207" s="6" t="s">
        <v>442</v>
      </c>
      <c r="B207" s="6" t="s">
        <v>26</v>
      </c>
      <c r="C207" s="7" t="s">
        <v>443</v>
      </c>
      <c r="D207" s="7" t="s">
        <v>13</v>
      </c>
      <c r="E207" s="8">
        <f ca="1">IFERROR(__xludf.DUMMYFUNCTION("GOOGLEFINANCE(C207,""Price"")"),315.7)</f>
        <v>315.7</v>
      </c>
      <c r="F207" s="9">
        <f ca="1">IFERROR(__xludf.DUMMYFUNCTION("GOOGLEFINANCE(C207,""change"")"),2.6)</f>
        <v>2.6</v>
      </c>
      <c r="G207" s="10">
        <f ca="1">IFERROR(__xludf.DUMMYFUNCTION("GOOGLEFINANCE(C207,""Changepct"")/100"),0.0083)</f>
        <v>8.3000000000000001E-3</v>
      </c>
      <c r="H207" s="11">
        <f ca="1">IFERROR(__xludf.DUMMYFUNCTION("GOOGLEFINANCE(C207,""Marketcap"")"),1338786709162)</f>
        <v>1338786709162</v>
      </c>
      <c r="I207" s="9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4" x14ac:dyDescent="0.3">
      <c r="A208" s="6" t="s">
        <v>444</v>
      </c>
      <c r="B208" s="6" t="s">
        <v>15</v>
      </c>
      <c r="C208" s="7" t="s">
        <v>445</v>
      </c>
      <c r="D208" s="7" t="s">
        <v>13</v>
      </c>
      <c r="E208" s="8">
        <f ca="1">IFERROR(__xludf.DUMMYFUNCTION("GOOGLEFINANCE(C208,""Price"")"),44100)</f>
        <v>44100</v>
      </c>
      <c r="F208" s="9">
        <f ca="1">IFERROR(__xludf.DUMMYFUNCTION("GOOGLEFINANCE(C208,""change"")"),1956.5)</f>
        <v>1956.5</v>
      </c>
      <c r="G208" s="10">
        <f ca="1">IFERROR(__xludf.DUMMYFUNCTION("GOOGLEFINANCE(C208,""Changepct"")/100"),0.0464)</f>
        <v>4.6399999999999997E-2</v>
      </c>
      <c r="H208" s="11">
        <f ca="1">IFERROR(__xludf.DUMMYFUNCTION("GOOGLEFINANCE(C208,""Marketcap"")"),391683021048)</f>
        <v>391683021048</v>
      </c>
      <c r="I208" s="9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4" x14ac:dyDescent="0.3">
      <c r="A209" s="6" t="s">
        <v>446</v>
      </c>
      <c r="B209" s="6" t="s">
        <v>29</v>
      </c>
      <c r="C209" s="7" t="s">
        <v>447</v>
      </c>
      <c r="D209" s="7" t="s">
        <v>13</v>
      </c>
      <c r="E209" s="8">
        <f ca="1">IFERROR(__xludf.DUMMYFUNCTION("GOOGLEFINANCE(C209,""Price"")"),46.2)</f>
        <v>46.2</v>
      </c>
      <c r="F209" s="9">
        <f ca="1">IFERROR(__xludf.DUMMYFUNCTION("GOOGLEFINANCE(C209,""change"")"),-1.15)</f>
        <v>-1.1499999999999999</v>
      </c>
      <c r="G209" s="10">
        <f ca="1">IFERROR(__xludf.DUMMYFUNCTION("GOOGLEFINANCE(C209,""Changepct"")/100"),-0.0243)</f>
        <v>-2.4299999999999999E-2</v>
      </c>
      <c r="H209" s="11">
        <f ca="1">IFERROR(__xludf.DUMMYFUNCTION("GOOGLEFINANCE(C209,""Marketcap"")"),92788061945)</f>
        <v>92788061945</v>
      </c>
      <c r="I209" s="9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4" x14ac:dyDescent="0.3">
      <c r="A210" s="6" t="s">
        <v>448</v>
      </c>
      <c r="B210" s="6" t="s">
        <v>29</v>
      </c>
      <c r="C210" s="7" t="s">
        <v>449</v>
      </c>
      <c r="D210" s="7" t="s">
        <v>22</v>
      </c>
      <c r="E210" s="8">
        <f ca="1">IFERROR(__xludf.DUMMYFUNCTION("GOOGLEFINANCE(C210,""Price"")"),2441)</f>
        <v>2441</v>
      </c>
      <c r="F210" s="9">
        <f ca="1">IFERROR(__xludf.DUMMYFUNCTION("GOOGLEFINANCE(C210,""change"")"),-23.2)</f>
        <v>-23.2</v>
      </c>
      <c r="G210" s="10">
        <f ca="1">IFERROR(__xludf.DUMMYFUNCTION("GOOGLEFINANCE(C210,""Changepct"")/100"),-0.00939999999999999)</f>
        <v>-9.39999999999999E-3</v>
      </c>
      <c r="H210" s="11">
        <f ca="1">IFERROR(__xludf.DUMMYFUNCTION("GOOGLEFINANCE(C210,""Marketcap"")"),4406931426524)</f>
        <v>4406931426524</v>
      </c>
      <c r="I210" s="9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4" x14ac:dyDescent="0.3">
      <c r="A211" s="6" t="s">
        <v>450</v>
      </c>
      <c r="B211" s="6" t="s">
        <v>15</v>
      </c>
      <c r="C211" s="7" t="s">
        <v>451</v>
      </c>
      <c r="D211" s="7" t="s">
        <v>13</v>
      </c>
      <c r="E211" s="8">
        <f ca="1">IFERROR(__xludf.DUMMYFUNCTION("GOOGLEFINANCE(C211,""Price"")"),274.9)</f>
        <v>274.89999999999998</v>
      </c>
      <c r="F211" s="9">
        <f ca="1">IFERROR(__xludf.DUMMYFUNCTION("GOOGLEFINANCE(C211,""change"")"),-16)</f>
        <v>-16</v>
      </c>
      <c r="G211" s="10">
        <f ca="1">IFERROR(__xludf.DUMMYFUNCTION("GOOGLEFINANCE(C211,""Changepct"")/100"),-0.055)</f>
        <v>-5.5E-2</v>
      </c>
      <c r="H211" s="11">
        <f ca="1">IFERROR(__xludf.DUMMYFUNCTION("GOOGLEFINANCE(C211,""Marketcap"")"),20760978096)</f>
        <v>20760978096</v>
      </c>
      <c r="I211" s="9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4" x14ac:dyDescent="0.3">
      <c r="A212" s="6" t="s">
        <v>452</v>
      </c>
      <c r="B212" s="6" t="s">
        <v>29</v>
      </c>
      <c r="C212" s="7" t="s">
        <v>453</v>
      </c>
      <c r="D212" s="7" t="s">
        <v>22</v>
      </c>
      <c r="E212" s="8">
        <f ca="1">IFERROR(__xludf.DUMMYFUNCTION("GOOGLEFINANCE(C212,""Price"")"),595.15)</f>
        <v>595.15</v>
      </c>
      <c r="F212" s="9">
        <f ca="1">IFERROR(__xludf.DUMMYFUNCTION("GOOGLEFINANCE(C212,""change"")"),-14.7)</f>
        <v>-14.7</v>
      </c>
      <c r="G212" s="10">
        <f ca="1">IFERROR(__xludf.DUMMYFUNCTION("GOOGLEFINANCE(C212,""Changepct"")/100"),-0.0241)</f>
        <v>-2.41E-2</v>
      </c>
      <c r="H212" s="11">
        <f ca="1">IFERROR(__xludf.DUMMYFUNCTION("GOOGLEFINANCE(C212,""Marketcap"")"),55195181544)</f>
        <v>55195181544</v>
      </c>
      <c r="I212" s="9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4" x14ac:dyDescent="0.3">
      <c r="A213" s="6" t="s">
        <v>454</v>
      </c>
      <c r="B213" s="6" t="s">
        <v>29</v>
      </c>
      <c r="C213" s="7" t="s">
        <v>455</v>
      </c>
      <c r="D213" s="7" t="s">
        <v>22</v>
      </c>
      <c r="E213" s="8">
        <f ca="1">IFERROR(__xludf.DUMMYFUNCTION("GOOGLEFINANCE(C213,""Price"")"),1485)</f>
        <v>1485</v>
      </c>
      <c r="F213" s="9">
        <f ca="1">IFERROR(__xludf.DUMMYFUNCTION("GOOGLEFINANCE(C213,""change"")"),0.2)</f>
        <v>0.2</v>
      </c>
      <c r="G213" s="10">
        <f ca="1">IFERROR(__xludf.DUMMYFUNCTION("GOOGLEFINANCE(C213,""Changepct"")/100"),0.0001)</f>
        <v>1E-4</v>
      </c>
      <c r="H213" s="11">
        <f ca="1">IFERROR(__xludf.DUMMYFUNCTION("GOOGLEFINANCE(C213,""Marketcap"")"),675082485000)</f>
        <v>675082485000</v>
      </c>
      <c r="I213" s="9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4" x14ac:dyDescent="0.3">
      <c r="A214" s="6" t="s">
        <v>456</v>
      </c>
      <c r="B214" s="6" t="s">
        <v>29</v>
      </c>
      <c r="C214" s="7" t="s">
        <v>457</v>
      </c>
      <c r="D214" s="7" t="s">
        <v>22</v>
      </c>
      <c r="E214" s="8">
        <f ca="1">IFERROR(__xludf.DUMMYFUNCTION("GOOGLEFINANCE(C214,""Price"")"),556.05)</f>
        <v>556.04999999999995</v>
      </c>
      <c r="F214" s="9">
        <f ca="1">IFERROR(__xludf.DUMMYFUNCTION("GOOGLEFINANCE(C214,""change"")"),-16.55)</f>
        <v>-16.55</v>
      </c>
      <c r="G214" s="10">
        <f ca="1">IFERROR(__xludf.DUMMYFUNCTION("GOOGLEFINANCE(C214,""Changepct"")/100"),-0.0289)</f>
        <v>-2.8899999999999999E-2</v>
      </c>
      <c r="H214" s="11">
        <f ca="1">IFERROR(__xludf.DUMMYFUNCTION("GOOGLEFINANCE(C214,""Marketcap"")"),798553952419)</f>
        <v>798553952419</v>
      </c>
      <c r="I214" s="9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4" x14ac:dyDescent="0.3">
      <c r="A215" s="6" t="s">
        <v>458</v>
      </c>
      <c r="B215" s="6" t="s">
        <v>29</v>
      </c>
      <c r="C215" s="7" t="s">
        <v>459</v>
      </c>
      <c r="D215" s="7" t="s">
        <v>13</v>
      </c>
      <c r="E215" s="8">
        <f ca="1">IFERROR(__xludf.DUMMYFUNCTION("GOOGLEFINANCE(C215,""Price"")"),497.5)</f>
        <v>497.5</v>
      </c>
      <c r="F215" s="9">
        <f ca="1">IFERROR(__xludf.DUMMYFUNCTION("GOOGLEFINANCE(C215,""change"")"),7.85)</f>
        <v>7.85</v>
      </c>
      <c r="G215" s="10">
        <f ca="1">IFERROR(__xludf.DUMMYFUNCTION("GOOGLEFINANCE(C215,""Changepct"")/100"),0.016)</f>
        <v>1.6E-2</v>
      </c>
      <c r="H215" s="11">
        <f ca="1">IFERROR(__xludf.DUMMYFUNCTION("GOOGLEFINANCE(C215,""Marketcap"")"),159664070775)</f>
        <v>159664070775</v>
      </c>
      <c r="I215" s="9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4" x14ac:dyDescent="0.3">
      <c r="A216" s="6" t="s">
        <v>460</v>
      </c>
      <c r="B216" s="6" t="s">
        <v>29</v>
      </c>
      <c r="C216" s="7" t="s">
        <v>461</v>
      </c>
      <c r="D216" s="7" t="s">
        <v>13</v>
      </c>
      <c r="E216" s="8">
        <f ca="1">IFERROR(__xludf.DUMMYFUNCTION("GOOGLEFINANCE(C216,""Price"")"),38.9)</f>
        <v>38.9</v>
      </c>
      <c r="F216" s="9">
        <f ca="1">IFERROR(__xludf.DUMMYFUNCTION("GOOGLEFINANCE(C216,""change"")"),0.15)</f>
        <v>0.15</v>
      </c>
      <c r="G216" s="10">
        <f ca="1">IFERROR(__xludf.DUMMYFUNCTION("GOOGLEFINANCE(C216,""Changepct"")/100"),0.0039)</f>
        <v>3.8999999999999998E-3</v>
      </c>
      <c r="H216" s="11">
        <f ca="1">IFERROR(__xludf.DUMMYFUNCTION("GOOGLEFINANCE(C216,""Marketcap"")"),417730723593)</f>
        <v>417730723593</v>
      </c>
      <c r="I216" s="9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4" x14ac:dyDescent="0.3">
      <c r="A217" s="6" t="s">
        <v>462</v>
      </c>
      <c r="B217" s="6" t="s">
        <v>29</v>
      </c>
      <c r="C217" s="7" t="s">
        <v>463</v>
      </c>
      <c r="D217" s="7" t="s">
        <v>22</v>
      </c>
      <c r="E217" s="8">
        <f ca="1">IFERROR(__xludf.DUMMYFUNCTION("GOOGLEFINANCE(C217,""Price"")"),55.3)</f>
        <v>55.3</v>
      </c>
      <c r="F217" s="9">
        <f ca="1">IFERROR(__xludf.DUMMYFUNCTION("GOOGLEFINANCE(C217,""change"")"),-0.95)</f>
        <v>-0.95</v>
      </c>
      <c r="G217" s="10">
        <f ca="1">IFERROR(__xludf.DUMMYFUNCTION("GOOGLEFINANCE(C217,""Changepct"")/100"),-0.0169)</f>
        <v>-1.6899999999999998E-2</v>
      </c>
      <c r="H217" s="11">
        <f ca="1">IFERROR(__xludf.DUMMYFUNCTION("GOOGLEFINANCE(C217,""Marketcap"")"),348739400000)</f>
        <v>348739400000</v>
      </c>
      <c r="I217" s="9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4" x14ac:dyDescent="0.3">
      <c r="A218" s="6" t="s">
        <v>464</v>
      </c>
      <c r="B218" s="6" t="s">
        <v>29</v>
      </c>
      <c r="C218" s="7" t="s">
        <v>465</v>
      </c>
      <c r="D218" s="7" t="s">
        <v>13</v>
      </c>
      <c r="E218" s="8">
        <f ca="1">IFERROR(__xludf.DUMMYFUNCTION("GOOGLEFINANCE(C218,""Price"")"),55.75)</f>
        <v>55.75</v>
      </c>
      <c r="F218" s="9">
        <f ca="1">IFERROR(__xludf.DUMMYFUNCTION("GOOGLEFINANCE(C218,""change"")"),-0.45)</f>
        <v>-0.45</v>
      </c>
      <c r="G218" s="10">
        <f ca="1">IFERROR(__xludf.DUMMYFUNCTION("GOOGLEFINANCE(C218,""Changepct"")/100"),-0.008)</f>
        <v>-8.0000000000000002E-3</v>
      </c>
      <c r="H218" s="11">
        <f ca="1">IFERROR(__xludf.DUMMYFUNCTION("GOOGLEFINANCE(C218,""Marketcap"")"),89235954711)</f>
        <v>89235954711</v>
      </c>
      <c r="I218" s="9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4" x14ac:dyDescent="0.3">
      <c r="A219" s="6" t="s">
        <v>466</v>
      </c>
      <c r="B219" s="6" t="s">
        <v>11</v>
      </c>
      <c r="C219" s="7" t="s">
        <v>467</v>
      </c>
      <c r="D219" s="7" t="s">
        <v>13</v>
      </c>
      <c r="E219" s="8">
        <f ca="1">IFERROR(__xludf.DUMMYFUNCTION("GOOGLEFINANCE(C219,""Price"")"),927)</f>
        <v>927</v>
      </c>
      <c r="F219" s="9">
        <f ca="1">IFERROR(__xludf.DUMMYFUNCTION("GOOGLEFINANCE(C219,""change"")"),10.35)</f>
        <v>10.35</v>
      </c>
      <c r="G219" s="10">
        <f ca="1">IFERROR(__xludf.DUMMYFUNCTION("GOOGLEFINANCE(C219,""Changepct"")/100"),0.0113)</f>
        <v>1.1299999999999999E-2</v>
      </c>
      <c r="H219" s="11">
        <f ca="1">IFERROR(__xludf.DUMMYFUNCTION("GOOGLEFINANCE(C219,""Marketcap"")"),37808227016)</f>
        <v>37808227016</v>
      </c>
      <c r="I219" s="9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4" x14ac:dyDescent="0.3">
      <c r="A220" s="6" t="s">
        <v>468</v>
      </c>
      <c r="B220" s="6" t="s">
        <v>29</v>
      </c>
      <c r="C220" s="7" t="s">
        <v>469</v>
      </c>
      <c r="D220" s="7" t="s">
        <v>13</v>
      </c>
      <c r="E220" s="8">
        <f ca="1">IFERROR(__xludf.DUMMYFUNCTION("GOOGLEFINANCE(C220,""Price"")"),268.8)</f>
        <v>268.8</v>
      </c>
      <c r="F220" s="9">
        <f ca="1">IFERROR(__xludf.DUMMYFUNCTION("GOOGLEFINANCE(C220,""change"")"),-4.55)</f>
        <v>-4.55</v>
      </c>
      <c r="G220" s="10">
        <f ca="1">IFERROR(__xludf.DUMMYFUNCTION("GOOGLEFINANCE(C220,""Changepct"")/100"),-0.0166)</f>
        <v>-1.66E-2</v>
      </c>
      <c r="H220" s="11">
        <f ca="1">IFERROR(__xludf.DUMMYFUNCTION("GOOGLEFINANCE(C220,""Marketcap"")"),101796405700)</f>
        <v>101796405700</v>
      </c>
      <c r="I220" s="9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4" x14ac:dyDescent="0.3">
      <c r="A221" s="6" t="s">
        <v>470</v>
      </c>
      <c r="B221" s="6" t="s">
        <v>29</v>
      </c>
      <c r="C221" s="7" t="s">
        <v>471</v>
      </c>
      <c r="D221" s="7" t="s">
        <v>13</v>
      </c>
      <c r="E221" s="8">
        <f ca="1">IFERROR(__xludf.DUMMYFUNCTION("GOOGLEFINANCE(C221,""Price"")"),1156)</f>
        <v>1156</v>
      </c>
      <c r="F221" s="9">
        <f ca="1">IFERROR(__xludf.DUMMYFUNCTION("GOOGLEFINANCE(C221,""change"")"),-23.85)</f>
        <v>-23.85</v>
      </c>
      <c r="G221" s="10">
        <f ca="1">IFERROR(__xludf.DUMMYFUNCTION("GOOGLEFINANCE(C221,""Changepct"")/100"),-0.0202)</f>
        <v>-2.0199999999999999E-2</v>
      </c>
      <c r="H221" s="11">
        <f ca="1">IFERROR(__xludf.DUMMYFUNCTION("GOOGLEFINANCE(C221,""Marketcap"")"),101632664680)</f>
        <v>101632664680</v>
      </c>
      <c r="I221" s="9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4" x14ac:dyDescent="0.3">
      <c r="A222" s="6" t="s">
        <v>472</v>
      </c>
      <c r="B222" s="6" t="s">
        <v>32</v>
      </c>
      <c r="C222" s="7" t="s">
        <v>473</v>
      </c>
      <c r="D222" s="7" t="s">
        <v>13</v>
      </c>
      <c r="E222" s="8">
        <f ca="1">IFERROR(__xludf.DUMMYFUNCTION("GOOGLEFINANCE(C222,""Price"")"),650.5)</f>
        <v>650.5</v>
      </c>
      <c r="F222" s="9">
        <f ca="1">IFERROR(__xludf.DUMMYFUNCTION("GOOGLEFINANCE(C222,""change"")"),-15.05)</f>
        <v>-15.05</v>
      </c>
      <c r="G222" s="10">
        <f ca="1">IFERROR(__xludf.DUMMYFUNCTION("GOOGLEFINANCE(C222,""Changepct"")/100"),-0.0226)</f>
        <v>-2.2599999999999999E-2</v>
      </c>
      <c r="H222" s="11">
        <f ca="1">IFERROR(__xludf.DUMMYFUNCTION("GOOGLEFINANCE(C222,""Marketcap"")"),38223216186)</f>
        <v>38223216186</v>
      </c>
      <c r="I222" s="9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4" x14ac:dyDescent="0.3">
      <c r="A223" s="6" t="s">
        <v>474</v>
      </c>
      <c r="B223" s="6" t="s">
        <v>100</v>
      </c>
      <c r="C223" s="7" t="s">
        <v>475</v>
      </c>
      <c r="D223" s="7" t="s">
        <v>13</v>
      </c>
      <c r="E223" s="8">
        <f ca="1">IFERROR(__xludf.DUMMYFUNCTION("GOOGLEFINANCE(C223,""Price"")"),106.95)</f>
        <v>106.95</v>
      </c>
      <c r="F223" s="9">
        <f ca="1">IFERROR(__xludf.DUMMYFUNCTION("GOOGLEFINANCE(C223,""change"")"),-1.15)</f>
        <v>-1.1499999999999999</v>
      </c>
      <c r="G223" s="10">
        <f ca="1">IFERROR(__xludf.DUMMYFUNCTION("GOOGLEFINANCE(C223,""Changepct"")/100"),-0.0106)</f>
        <v>-1.06E-2</v>
      </c>
      <c r="H223" s="11">
        <f ca="1">IFERROR(__xludf.DUMMYFUNCTION("GOOGLEFINANCE(C223,""Marketcap"")"),37587576427)</f>
        <v>37587576427</v>
      </c>
      <c r="I223" s="9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4" x14ac:dyDescent="0.3">
      <c r="A224" s="6" t="s">
        <v>476</v>
      </c>
      <c r="B224" s="6" t="s">
        <v>100</v>
      </c>
      <c r="C224" s="7" t="s">
        <v>477</v>
      </c>
      <c r="D224" s="7" t="s">
        <v>13</v>
      </c>
      <c r="E224" s="8">
        <f ca="1">IFERROR(__xludf.DUMMYFUNCTION("GOOGLEFINANCE(C224,""Price"")"),97.35)</f>
        <v>97.35</v>
      </c>
      <c r="F224" s="9">
        <f ca="1">IFERROR(__xludf.DUMMYFUNCTION("GOOGLEFINANCE(C224,""change"")"),3.9)</f>
        <v>3.9</v>
      </c>
      <c r="G224" s="10">
        <f ca="1">IFERROR(__xludf.DUMMYFUNCTION("GOOGLEFINANCE(C224,""Changepct"")/100"),0.0417)</f>
        <v>4.1700000000000001E-2</v>
      </c>
      <c r="H224" s="11">
        <f ca="1">IFERROR(__xludf.DUMMYFUNCTION("GOOGLEFINANCE(C224,""Marketcap"")"),45590620800)</f>
        <v>45590620800</v>
      </c>
      <c r="I224" s="9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4" x14ac:dyDescent="0.3">
      <c r="A225" s="6" t="s">
        <v>478</v>
      </c>
      <c r="B225" s="6" t="s">
        <v>11</v>
      </c>
      <c r="C225" s="7" t="s">
        <v>479</v>
      </c>
      <c r="D225" s="7" t="s">
        <v>22</v>
      </c>
      <c r="E225" s="8">
        <f ca="1">IFERROR(__xludf.DUMMYFUNCTION("GOOGLEFINANCE(C225,""Price"")"),203.6)</f>
        <v>203.6</v>
      </c>
      <c r="F225" s="9">
        <f ca="1">IFERROR(__xludf.DUMMYFUNCTION("GOOGLEFINANCE(C225,""change"")"),-0.4)</f>
        <v>-0.4</v>
      </c>
      <c r="G225" s="10">
        <f ca="1">IFERROR(__xludf.DUMMYFUNCTION("GOOGLEFINANCE(C225,""Changepct"")/100"),-0.002)</f>
        <v>-2E-3</v>
      </c>
      <c r="H225" s="11">
        <f ca="1">IFERROR(__xludf.DUMMYFUNCTION("GOOGLEFINANCE(C225,""Marketcap"")"),2501773243554)</f>
        <v>2501773243554</v>
      </c>
      <c r="I225" s="9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4" x14ac:dyDescent="0.3">
      <c r="A226" s="6" t="s">
        <v>480</v>
      </c>
      <c r="B226" s="6" t="s">
        <v>174</v>
      </c>
      <c r="C226" s="7" t="s">
        <v>481</v>
      </c>
      <c r="D226" s="7" t="s">
        <v>13</v>
      </c>
      <c r="E226" s="8">
        <f ca="1">IFERROR(__xludf.DUMMYFUNCTION("GOOGLEFINANCE(C226,""Price"")"),120)</f>
        <v>120</v>
      </c>
      <c r="F226" s="9">
        <f ca="1">IFERROR(__xludf.DUMMYFUNCTION("GOOGLEFINANCE(C226,""change"")"),-3.7)</f>
        <v>-3.7</v>
      </c>
      <c r="G226" s="10">
        <f ca="1">IFERROR(__xludf.DUMMYFUNCTION("GOOGLEFINANCE(C226,""Changepct"")/100"),-0.0299)</f>
        <v>-2.9899999999999999E-2</v>
      </c>
      <c r="H226" s="11">
        <f ca="1">IFERROR(__xludf.DUMMYFUNCTION("GOOGLEFINANCE(C226,""Marketcap"")"),112022760000)</f>
        <v>112022760000</v>
      </c>
      <c r="I226" s="9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4" x14ac:dyDescent="0.3">
      <c r="A227" s="6" t="s">
        <v>482</v>
      </c>
      <c r="B227" s="6" t="s">
        <v>20</v>
      </c>
      <c r="C227" s="7" t="s">
        <v>483</v>
      </c>
      <c r="D227" s="7" t="s">
        <v>13</v>
      </c>
      <c r="E227" s="8">
        <f ca="1">IFERROR(__xludf.DUMMYFUNCTION("GOOGLEFINANCE(C227,""Price"")"),172.1)</f>
        <v>172.1</v>
      </c>
      <c r="F227" s="9">
        <f ca="1">IFERROR(__xludf.DUMMYFUNCTION("GOOGLEFINANCE(C227,""change"")"),3.4)</f>
        <v>3.4</v>
      </c>
      <c r="G227" s="10">
        <f ca="1">IFERROR(__xludf.DUMMYFUNCTION("GOOGLEFINANCE(C227,""Changepct"")/100"),0.0202)</f>
        <v>2.0199999999999999E-2</v>
      </c>
      <c r="H227" s="11">
        <f ca="1">IFERROR(__xludf.DUMMYFUNCTION("GOOGLEFINANCE(C227,""Marketcap"")"),53411789653)</f>
        <v>53411789653</v>
      </c>
      <c r="I227" s="9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4" x14ac:dyDescent="0.3">
      <c r="A228" s="6" t="s">
        <v>484</v>
      </c>
      <c r="B228" s="6" t="s">
        <v>29</v>
      </c>
      <c r="C228" s="7" t="s">
        <v>485</v>
      </c>
      <c r="D228" s="7" t="s">
        <v>22</v>
      </c>
      <c r="E228" s="8">
        <f ca="1">IFERROR(__xludf.DUMMYFUNCTION("GOOGLEFINANCE(C228,""Price"")"),187.9)</f>
        <v>187.9</v>
      </c>
      <c r="F228" s="9">
        <f ca="1">IFERROR(__xludf.DUMMYFUNCTION("GOOGLEFINANCE(C228,""change"")"),3)</f>
        <v>3</v>
      </c>
      <c r="G228" s="10">
        <f ca="1">IFERROR(__xludf.DUMMYFUNCTION("GOOGLEFINANCE(C228,""Changepct"")/100"),0.0162)</f>
        <v>1.6199999999999999E-2</v>
      </c>
      <c r="H228" s="11">
        <f ca="1">IFERROR(__xludf.DUMMYFUNCTION("GOOGLEFINANCE(C228,""Marketcap"")"),83614255975)</f>
        <v>83614255975</v>
      </c>
      <c r="I228" s="9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4" x14ac:dyDescent="0.3">
      <c r="A229" s="6" t="s">
        <v>486</v>
      </c>
      <c r="B229" s="6" t="s">
        <v>100</v>
      </c>
      <c r="C229" s="7" t="s">
        <v>487</v>
      </c>
      <c r="D229" s="7" t="s">
        <v>13</v>
      </c>
      <c r="E229" s="8">
        <f ca="1">IFERROR(__xludf.DUMMYFUNCTION("GOOGLEFINANCE(C229,""Price"")"),84.95)</f>
        <v>84.95</v>
      </c>
      <c r="F229" s="9">
        <f ca="1">IFERROR(__xludf.DUMMYFUNCTION("GOOGLEFINANCE(C229,""change"")"),-1.85)</f>
        <v>-1.85</v>
      </c>
      <c r="G229" s="10">
        <f ca="1">IFERROR(__xludf.DUMMYFUNCTION("GOOGLEFINANCE(C229,""Changepct"")/100"),-0.0213)</f>
        <v>-2.1299999999999999E-2</v>
      </c>
      <c r="H229" s="11">
        <f ca="1">IFERROR(__xludf.DUMMYFUNCTION("GOOGLEFINANCE(C229,""Marketcap"")"),38314071168)</f>
        <v>38314071168</v>
      </c>
      <c r="I229" s="9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4" x14ac:dyDescent="0.3">
      <c r="A230" s="6" t="s">
        <v>488</v>
      </c>
      <c r="B230" s="6" t="s">
        <v>57</v>
      </c>
      <c r="C230" s="7" t="s">
        <v>489</v>
      </c>
      <c r="D230" s="7" t="s">
        <v>13</v>
      </c>
      <c r="E230" s="8">
        <f ca="1">IFERROR(__xludf.DUMMYFUNCTION("GOOGLEFINANCE(C230,""Price"")"),6698.4)</f>
        <v>6698.4</v>
      </c>
      <c r="F230" s="9">
        <f ca="1">IFERROR(__xludf.DUMMYFUNCTION("GOOGLEFINANCE(C230,""change"")"),-264.5)</f>
        <v>-264.5</v>
      </c>
      <c r="G230" s="10">
        <f ca="1">IFERROR(__xludf.DUMMYFUNCTION("GOOGLEFINANCE(C230,""Changepct"")/100"),-0.038)</f>
        <v>-3.7999999999999999E-2</v>
      </c>
      <c r="H230" s="11">
        <f ca="1">IFERROR(__xludf.DUMMYFUNCTION("GOOGLEFINANCE(C230,""Marketcap"")"),202922781161)</f>
        <v>202922781161</v>
      </c>
      <c r="I230" s="9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4" x14ac:dyDescent="0.3">
      <c r="A231" s="6" t="s">
        <v>490</v>
      </c>
      <c r="B231" s="6" t="s">
        <v>29</v>
      </c>
      <c r="C231" s="7" t="s">
        <v>491</v>
      </c>
      <c r="D231" s="7" t="s">
        <v>13</v>
      </c>
      <c r="E231" s="8">
        <f ca="1">IFERROR(__xludf.DUMMYFUNCTION("GOOGLEFINANCE(C231,""Price"")"),129.8)</f>
        <v>129.80000000000001</v>
      </c>
      <c r="F231" s="9">
        <f ca="1">IFERROR(__xludf.DUMMYFUNCTION("GOOGLEFINANCE(C231,""change"")"),6)</f>
        <v>6</v>
      </c>
      <c r="G231" s="10">
        <f ca="1">IFERROR(__xludf.DUMMYFUNCTION("GOOGLEFINANCE(C231,""Changepct"")/100"),0.0484999999999999)</f>
        <v>4.8499999999999897E-2</v>
      </c>
      <c r="H231" s="11">
        <f ca="1">IFERROR(__xludf.DUMMYFUNCTION("GOOGLEFINANCE(C231,""Marketcap"")"),145747167000)</f>
        <v>145747167000</v>
      </c>
      <c r="I231" s="9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4" x14ac:dyDescent="0.3">
      <c r="A232" s="6" t="s">
        <v>492</v>
      </c>
      <c r="B232" s="6" t="s">
        <v>29</v>
      </c>
      <c r="C232" s="7" t="s">
        <v>493</v>
      </c>
      <c r="D232" s="7" t="s">
        <v>13</v>
      </c>
      <c r="E232" s="8">
        <f ca="1">IFERROR(__xludf.DUMMYFUNCTION("GOOGLEFINANCE(C232,""Price"")"),398)</f>
        <v>398</v>
      </c>
      <c r="F232" s="9">
        <f ca="1">IFERROR(__xludf.DUMMYFUNCTION("GOOGLEFINANCE(C232,""change"")"),-3.55)</f>
        <v>-3.55</v>
      </c>
      <c r="G232" s="10">
        <f ca="1">IFERROR(__xludf.DUMMYFUNCTION("GOOGLEFINANCE(C232,""Changepct"")/100"),-0.0088)</f>
        <v>-8.8000000000000005E-3</v>
      </c>
      <c r="H232" s="11">
        <f ca="1">IFERROR(__xludf.DUMMYFUNCTION("GOOGLEFINANCE(C232,""Marketcap"")"),118611662687)</f>
        <v>118611662687</v>
      </c>
      <c r="I232" s="9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4" x14ac:dyDescent="0.3">
      <c r="A233" s="6" t="s">
        <v>494</v>
      </c>
      <c r="B233" s="6" t="s">
        <v>57</v>
      </c>
      <c r="C233" s="7" t="s">
        <v>495</v>
      </c>
      <c r="D233" s="7" t="s">
        <v>13</v>
      </c>
      <c r="E233" s="8">
        <f ca="1">IFERROR(__xludf.DUMMYFUNCTION("GOOGLEFINANCE(C233,""Price"")"),117)</f>
        <v>117</v>
      </c>
      <c r="F233" s="9">
        <f ca="1">IFERROR(__xludf.DUMMYFUNCTION("GOOGLEFINANCE(C233,""change"")"),-0.8)</f>
        <v>-0.8</v>
      </c>
      <c r="G233" s="10">
        <f ca="1">IFERROR(__xludf.DUMMYFUNCTION("GOOGLEFINANCE(C233,""Changepct"")/100"),-0.0068)</f>
        <v>-6.7999999999999996E-3</v>
      </c>
      <c r="H233" s="11">
        <f ca="1">IFERROR(__xludf.DUMMYFUNCTION("GOOGLEFINANCE(C233,""Marketcap"")"),139148919000)</f>
        <v>139148919000</v>
      </c>
      <c r="I233" s="9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4" x14ac:dyDescent="0.3">
      <c r="A234" s="6" t="s">
        <v>496</v>
      </c>
      <c r="B234" s="6" t="s">
        <v>50</v>
      </c>
      <c r="C234" s="7" t="s">
        <v>497</v>
      </c>
      <c r="D234" s="7" t="s">
        <v>22</v>
      </c>
      <c r="E234" s="8">
        <f ca="1">IFERROR(__xludf.DUMMYFUNCTION("GOOGLEFINANCE(C234,""Price"")"),102.7)</f>
        <v>102.7</v>
      </c>
      <c r="F234" s="9">
        <f ca="1">IFERROR(__xludf.DUMMYFUNCTION("GOOGLEFINANCE(C234,""change"")"),-1)</f>
        <v>-1</v>
      </c>
      <c r="G234" s="10">
        <f ca="1">IFERROR(__xludf.DUMMYFUNCTION("GOOGLEFINANCE(C234,""Changepct"")/100"),-0.0096)</f>
        <v>-9.5999999999999992E-3</v>
      </c>
      <c r="H234" s="11">
        <f ca="1">IFERROR(__xludf.DUMMYFUNCTION("GOOGLEFINANCE(C234,""Marketcap"")"),967304837250)</f>
        <v>967304837250</v>
      </c>
      <c r="I234" s="9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4" x14ac:dyDescent="0.3">
      <c r="A235" s="6" t="s">
        <v>498</v>
      </c>
      <c r="B235" s="6" t="s">
        <v>29</v>
      </c>
      <c r="C235" s="7" t="s">
        <v>499</v>
      </c>
      <c r="D235" s="7" t="s">
        <v>13</v>
      </c>
      <c r="E235" s="8">
        <f ca="1">IFERROR(__xludf.DUMMYFUNCTION("GOOGLEFINANCE(C235,""Price"")"),16.45)</f>
        <v>16.45</v>
      </c>
      <c r="F235" s="9">
        <f ca="1">IFERROR(__xludf.DUMMYFUNCTION("GOOGLEFINANCE(C235,""change"")"),0.5)</f>
        <v>0.5</v>
      </c>
      <c r="G235" s="10">
        <f ca="1">IFERROR(__xludf.DUMMYFUNCTION("GOOGLEFINANCE(C235,""Changepct"")/100"),0.0313)</f>
        <v>3.1300000000000001E-2</v>
      </c>
      <c r="H235" s="11">
        <f ca="1">IFERROR(__xludf.DUMMYFUNCTION("GOOGLEFINANCE(C235,""Marketcap"")"),268724161749)</f>
        <v>268724161749</v>
      </c>
      <c r="I235" s="9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4" x14ac:dyDescent="0.3">
      <c r="A236" s="6" t="s">
        <v>500</v>
      </c>
      <c r="B236" s="6" t="s">
        <v>47</v>
      </c>
      <c r="C236" s="7" t="s">
        <v>501</v>
      </c>
      <c r="D236" s="7" t="s">
        <v>22</v>
      </c>
      <c r="E236" s="8">
        <f ca="1">IFERROR(__xludf.DUMMYFUNCTION("GOOGLEFINANCE(C236,""Price"")"),1741)</f>
        <v>1741</v>
      </c>
      <c r="F236" s="9">
        <f ca="1">IFERROR(__xludf.DUMMYFUNCTION("GOOGLEFINANCE(C236,""change"")"),-51.3)</f>
        <v>-51.3</v>
      </c>
      <c r="G236" s="10">
        <f ca="1">IFERROR(__xludf.DUMMYFUNCTION("GOOGLEFINANCE(C236,""Changepct"")/100"),-0.0286)</f>
        <v>-2.86E-2</v>
      </c>
      <c r="H236" s="11">
        <f ca="1">IFERROR(__xludf.DUMMYFUNCTION("GOOGLEFINANCE(C236,""Marketcap"")"),279420495061)</f>
        <v>279420495061</v>
      </c>
      <c r="I236" s="9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4" x14ac:dyDescent="0.3">
      <c r="A237" s="6" t="s">
        <v>502</v>
      </c>
      <c r="B237" s="6" t="s">
        <v>79</v>
      </c>
      <c r="C237" s="7" t="s">
        <v>503</v>
      </c>
      <c r="D237" s="7" t="s">
        <v>13</v>
      </c>
      <c r="E237" s="8">
        <f ca="1">IFERROR(__xludf.DUMMYFUNCTION("GOOGLEFINANCE(C237,""Price"")"),150.3)</f>
        <v>150.30000000000001</v>
      </c>
      <c r="F237" s="9">
        <f ca="1">IFERROR(__xludf.DUMMYFUNCTION("GOOGLEFINANCE(C237,""change"")"),1.9)</f>
        <v>1.9</v>
      </c>
      <c r="G237" s="10">
        <f ca="1">IFERROR(__xludf.DUMMYFUNCTION("GOOGLEFINANCE(C237,""Changepct"")/100"),0.0128)</f>
        <v>1.2800000000000001E-2</v>
      </c>
      <c r="H237" s="11">
        <f ca="1">IFERROR(__xludf.DUMMYFUNCTION("GOOGLEFINANCE(C237,""Marketcap"")"),29669160482)</f>
        <v>29669160482</v>
      </c>
      <c r="I237" s="9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4" x14ac:dyDescent="0.3">
      <c r="A238" s="6" t="s">
        <v>504</v>
      </c>
      <c r="B238" s="6" t="s">
        <v>32</v>
      </c>
      <c r="C238" s="7" t="s">
        <v>505</v>
      </c>
      <c r="D238" s="7" t="s">
        <v>13</v>
      </c>
      <c r="E238" s="8">
        <f ca="1">IFERROR(__xludf.DUMMYFUNCTION("GOOGLEFINANCE(C238,""Price"")"),353.35)</f>
        <v>353.35</v>
      </c>
      <c r="F238" s="9">
        <f ca="1">IFERROR(__xludf.DUMMYFUNCTION("GOOGLEFINANCE(C238,""change"")"),-3.9)</f>
        <v>-3.9</v>
      </c>
      <c r="G238" s="10">
        <f ca="1">IFERROR(__xludf.DUMMYFUNCTION("GOOGLEFINANCE(C238,""Changepct"")/100"),-0.0109)</f>
        <v>-1.09E-2</v>
      </c>
      <c r="H238" s="11">
        <f ca="1">IFERROR(__xludf.DUMMYFUNCTION("GOOGLEFINANCE(C238,""Marketcap"")"),32561323201)</f>
        <v>32561323201</v>
      </c>
      <c r="I238" s="9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4" x14ac:dyDescent="0.3">
      <c r="A239" s="6" t="s">
        <v>506</v>
      </c>
      <c r="B239" s="6" t="s">
        <v>50</v>
      </c>
      <c r="C239" s="7" t="s">
        <v>507</v>
      </c>
      <c r="D239" s="7" t="s">
        <v>22</v>
      </c>
      <c r="E239" s="8">
        <f ca="1">IFERROR(__xludf.DUMMYFUNCTION("GOOGLEFINANCE(C239,""Price"")"),518.85)</f>
        <v>518.85</v>
      </c>
      <c r="F239" s="9">
        <f ca="1">IFERROR(__xludf.DUMMYFUNCTION("GOOGLEFINANCE(C239,""change"")"),-6.7)</f>
        <v>-6.7</v>
      </c>
      <c r="G239" s="10">
        <f ca="1">IFERROR(__xludf.DUMMYFUNCTION("GOOGLEFINANCE(C239,""Changepct"")/100"),-0.0127)</f>
        <v>-1.2699999999999999E-2</v>
      </c>
      <c r="H239" s="11">
        <f ca="1">IFERROR(__xludf.DUMMYFUNCTION("GOOGLEFINANCE(C239,""Marketcap"")"),363822263862)</f>
        <v>363822263862</v>
      </c>
      <c r="I239" s="9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4" x14ac:dyDescent="0.3">
      <c r="A240" s="6" t="s">
        <v>508</v>
      </c>
      <c r="B240" s="6" t="s">
        <v>174</v>
      </c>
      <c r="C240" s="7" t="s">
        <v>509</v>
      </c>
      <c r="D240" s="7" t="s">
        <v>22</v>
      </c>
      <c r="E240" s="8">
        <f ca="1">IFERROR(__xludf.DUMMYFUNCTION("GOOGLEFINANCE(C240,""Price"")"),252)</f>
        <v>252</v>
      </c>
      <c r="F240" s="9">
        <f ca="1">IFERROR(__xludf.DUMMYFUNCTION("GOOGLEFINANCE(C240,""change"")"),-4.5)</f>
        <v>-4.5</v>
      </c>
      <c r="G240" s="10">
        <f ca="1">IFERROR(__xludf.DUMMYFUNCTION("GOOGLEFINANCE(C240,""Changepct"")/100"),-0.0175)</f>
        <v>-1.7500000000000002E-2</v>
      </c>
      <c r="H240" s="11">
        <f ca="1">IFERROR(__xludf.DUMMYFUNCTION("GOOGLEFINANCE(C240,""Marketcap"")"),679087332000)</f>
        <v>679087332000</v>
      </c>
      <c r="I240" s="9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4" x14ac:dyDescent="0.3">
      <c r="A241" s="6" t="s">
        <v>510</v>
      </c>
      <c r="B241" s="6" t="s">
        <v>29</v>
      </c>
      <c r="C241" s="7" t="s">
        <v>511</v>
      </c>
      <c r="D241" s="7" t="s">
        <v>22</v>
      </c>
      <c r="E241" s="8">
        <f ca="1">IFERROR(__xludf.DUMMYFUNCTION("GOOGLEFINANCE(C241,""Price"")"),916.5)</f>
        <v>916.5</v>
      </c>
      <c r="F241" s="9">
        <f ca="1">IFERROR(__xludf.DUMMYFUNCTION("GOOGLEFINANCE(C241,""change"")"),-32.35)</f>
        <v>-32.35</v>
      </c>
      <c r="G241" s="10">
        <f ca="1">IFERROR(__xludf.DUMMYFUNCTION("GOOGLEFINANCE(C241,""Changepct"")/100"),-0.0341)</f>
        <v>-3.4099999999999998E-2</v>
      </c>
      <c r="H241" s="11">
        <f ca="1">IFERROR(__xludf.DUMMYFUNCTION("GOOGLEFINANCE(C241,""Marketcap"")"),709336667325)</f>
        <v>709336667325</v>
      </c>
      <c r="I241" s="9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4" x14ac:dyDescent="0.3">
      <c r="A242" s="6" t="s">
        <v>512</v>
      </c>
      <c r="B242" s="6" t="s">
        <v>64</v>
      </c>
      <c r="C242" s="7" t="s">
        <v>513</v>
      </c>
      <c r="D242" s="7" t="s">
        <v>13</v>
      </c>
      <c r="E242" s="8">
        <f ca="1">IFERROR(__xludf.DUMMYFUNCTION("GOOGLEFINANCE(C242,""Price"")"),43.6)</f>
        <v>43.6</v>
      </c>
      <c r="F242" s="9">
        <f ca="1">IFERROR(__xludf.DUMMYFUNCTION("GOOGLEFINANCE(C242,""change"")"),0.35)</f>
        <v>0.35</v>
      </c>
      <c r="G242" s="10">
        <f ca="1">IFERROR(__xludf.DUMMYFUNCTION("GOOGLEFINANCE(C242,""Changepct"")/100"),0.0081)</f>
        <v>8.0999999999999996E-3</v>
      </c>
      <c r="H242" s="11">
        <f ca="1">IFERROR(__xludf.DUMMYFUNCTION("GOOGLEFINANCE(C242,""Marketcap"")"),57590955000)</f>
        <v>57590955000</v>
      </c>
      <c r="I242" s="9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4" x14ac:dyDescent="0.3">
      <c r="A243" s="6" t="s">
        <v>514</v>
      </c>
      <c r="B243" s="6" t="s">
        <v>57</v>
      </c>
      <c r="C243" s="7" t="s">
        <v>515</v>
      </c>
      <c r="D243" s="7" t="s">
        <v>22</v>
      </c>
      <c r="E243" s="8">
        <f ca="1">IFERROR(__xludf.DUMMYFUNCTION("GOOGLEFINANCE(C243,""Price"")"),4359.3)</f>
        <v>4359.3</v>
      </c>
      <c r="F243" s="9">
        <f ca="1">IFERROR(__xludf.DUMMYFUNCTION("GOOGLEFINANCE(C243,""change"")"),-124.75)</f>
        <v>-124.75</v>
      </c>
      <c r="G243" s="10">
        <f ca="1">IFERROR(__xludf.DUMMYFUNCTION("GOOGLEFINANCE(C243,""Changepct"")/100"),-0.0278)</f>
        <v>-2.7799999999999998E-2</v>
      </c>
      <c r="H243" s="11">
        <f ca="1">IFERROR(__xludf.DUMMYFUNCTION("GOOGLEFINANCE(C243,""Marketcap"")"),559119673998)</f>
        <v>559119673998</v>
      </c>
      <c r="I243" s="9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4" x14ac:dyDescent="0.3">
      <c r="A244" s="6" t="s">
        <v>516</v>
      </c>
      <c r="B244" s="6" t="s">
        <v>64</v>
      </c>
      <c r="C244" s="7" t="s">
        <v>517</v>
      </c>
      <c r="D244" s="7" t="s">
        <v>22</v>
      </c>
      <c r="E244" s="8">
        <f ca="1">IFERROR(__xludf.DUMMYFUNCTION("GOOGLEFINANCE(C244,""Price"")"),1327.6)</f>
        <v>1327.6</v>
      </c>
      <c r="F244" s="9">
        <f ca="1">IFERROR(__xludf.DUMMYFUNCTION("GOOGLEFINANCE(C244,""change"")"),-3.05)</f>
        <v>-3.05</v>
      </c>
      <c r="G244" s="10">
        <f ca="1">IFERROR(__xludf.DUMMYFUNCTION("GOOGLEFINANCE(C244,""Changepct"")/100"),-0.0023)</f>
        <v>-2.3E-3</v>
      </c>
      <c r="H244" s="11">
        <f ca="1">IFERROR(__xludf.DUMMYFUNCTION("GOOGLEFINANCE(C244,""Marketcap"")"),75429233285)</f>
        <v>75429233285</v>
      </c>
      <c r="I244" s="9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4" x14ac:dyDescent="0.3">
      <c r="A245" s="6" t="s">
        <v>518</v>
      </c>
      <c r="B245" s="6" t="s">
        <v>15</v>
      </c>
      <c r="C245" s="7" t="s">
        <v>519</v>
      </c>
      <c r="D245" s="7" t="s">
        <v>13</v>
      </c>
      <c r="E245" s="8">
        <f ca="1">IFERROR(__xludf.DUMMYFUNCTION("GOOGLEFINANCE(C245,""Price"")"),780)</f>
        <v>780</v>
      </c>
      <c r="F245" s="9">
        <f ca="1">IFERROR(__xludf.DUMMYFUNCTION("GOOGLEFINANCE(C245,""change"")"),-12.15)</f>
        <v>-12.15</v>
      </c>
      <c r="G245" s="10">
        <f ca="1">IFERROR(__xludf.DUMMYFUNCTION("GOOGLEFINANCE(C245,""Changepct"")/100"),-0.0153)</f>
        <v>-1.5299999999999999E-2</v>
      </c>
      <c r="H245" s="11">
        <f ca="1">IFERROR(__xludf.DUMMYFUNCTION("GOOGLEFINANCE(C245,""Marketcap"")"),24623032200)</f>
        <v>24623032200</v>
      </c>
      <c r="I245" s="9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4" x14ac:dyDescent="0.3">
      <c r="A246" s="6" t="s">
        <v>520</v>
      </c>
      <c r="B246" s="6" t="s">
        <v>288</v>
      </c>
      <c r="C246" s="7" t="s">
        <v>521</v>
      </c>
      <c r="D246" s="7" t="s">
        <v>13</v>
      </c>
      <c r="E246" s="8">
        <f ca="1">IFERROR(__xludf.DUMMYFUNCTION("GOOGLEFINANCE(C246,""Price"")"),282)</f>
        <v>282</v>
      </c>
      <c r="F246" s="9">
        <f ca="1">IFERROR(__xludf.DUMMYFUNCTION("GOOGLEFINANCE(C246,""change"")"),1.65)</f>
        <v>1.65</v>
      </c>
      <c r="G246" s="10">
        <f ca="1">IFERROR(__xludf.DUMMYFUNCTION("GOOGLEFINANCE(C246,""Changepct"")/100"),0.0059)</f>
        <v>5.8999999999999999E-3</v>
      </c>
      <c r="H246" s="11">
        <f ca="1">IFERROR(__xludf.DUMMYFUNCTION("GOOGLEFINANCE(C246,""Marketcap"")"),31794078651)</f>
        <v>31794078651</v>
      </c>
      <c r="I246" s="9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4" x14ac:dyDescent="0.3">
      <c r="A247" s="6" t="s">
        <v>522</v>
      </c>
      <c r="B247" s="6" t="s">
        <v>64</v>
      </c>
      <c r="C247" s="7" t="s">
        <v>523</v>
      </c>
      <c r="D247" s="7" t="s">
        <v>13</v>
      </c>
      <c r="E247" s="8">
        <f ca="1">IFERROR(__xludf.DUMMYFUNCTION("GOOGLEFINANCE(C247,""Price"")"),707)</f>
        <v>707</v>
      </c>
      <c r="F247" s="9">
        <f ca="1">IFERROR(__xludf.DUMMYFUNCTION("GOOGLEFINANCE(C247,""change"")"),-49.85)</f>
        <v>-49.85</v>
      </c>
      <c r="G247" s="10">
        <f ca="1">IFERROR(__xludf.DUMMYFUNCTION("GOOGLEFINANCE(C247,""Changepct"")/100"),-0.0659)</f>
        <v>-6.59E-2</v>
      </c>
      <c r="H247" s="11">
        <f ca="1">IFERROR(__xludf.DUMMYFUNCTION("GOOGLEFINANCE(C247,""Marketcap"")"),93768334857)</f>
        <v>93768334857</v>
      </c>
      <c r="I247" s="9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4" x14ac:dyDescent="0.3">
      <c r="A248" s="6" t="s">
        <v>524</v>
      </c>
      <c r="B248" s="6" t="s">
        <v>47</v>
      </c>
      <c r="C248" s="7" t="s">
        <v>525</v>
      </c>
      <c r="D248" s="7" t="s">
        <v>22</v>
      </c>
      <c r="E248" s="8">
        <f ca="1">IFERROR(__xludf.DUMMYFUNCTION("GOOGLEFINANCE(C248,""Price"")"),1684.95)</f>
        <v>1684.95</v>
      </c>
      <c r="F248" s="9">
        <f ca="1">IFERROR(__xludf.DUMMYFUNCTION("GOOGLEFINANCE(C248,""change"")"),10)</f>
        <v>10</v>
      </c>
      <c r="G248" s="10">
        <f ca="1">IFERROR(__xludf.DUMMYFUNCTION("GOOGLEFINANCE(C248,""Changepct"")/100"),0.006)</f>
        <v>6.0000000000000001E-3</v>
      </c>
      <c r="H248" s="11">
        <f ca="1">IFERROR(__xludf.DUMMYFUNCTION("GOOGLEFINANCE(C248,""Marketcap"")"),647610153300)</f>
        <v>647610153300</v>
      </c>
      <c r="I248" s="9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4" x14ac:dyDescent="0.3">
      <c r="A249" s="6" t="s">
        <v>526</v>
      </c>
      <c r="B249" s="6" t="s">
        <v>32</v>
      </c>
      <c r="C249" s="7" t="s">
        <v>527</v>
      </c>
      <c r="D249" s="7" t="s">
        <v>13</v>
      </c>
      <c r="E249" s="8">
        <f ca="1">IFERROR(__xludf.DUMMYFUNCTION("GOOGLEFINANCE(C249,""Price"")"),2145.35)</f>
        <v>2145.35</v>
      </c>
      <c r="F249" s="9">
        <f ca="1">IFERROR(__xludf.DUMMYFUNCTION("GOOGLEFINANCE(C249,""change"")"),-16.55)</f>
        <v>-16.55</v>
      </c>
      <c r="G249" s="10">
        <f ca="1">IFERROR(__xludf.DUMMYFUNCTION("GOOGLEFINANCE(C249,""Changepct"")/100"),-0.0077)</f>
        <v>-7.7000000000000002E-3</v>
      </c>
      <c r="H249" s="11">
        <f ca="1">IFERROR(__xludf.DUMMYFUNCTION("GOOGLEFINANCE(C249,""Marketcap"")"),271721511562)</f>
        <v>271721511562</v>
      </c>
      <c r="I249" s="9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4" x14ac:dyDescent="0.3">
      <c r="A250" s="6" t="s">
        <v>528</v>
      </c>
      <c r="B250" s="6" t="s">
        <v>32</v>
      </c>
      <c r="C250" s="7" t="s">
        <v>529</v>
      </c>
      <c r="D250" s="7" t="s">
        <v>13</v>
      </c>
      <c r="E250" s="8">
        <f ca="1">IFERROR(__xludf.DUMMYFUNCTION("GOOGLEFINANCE(C250,""Price"")"),1385)</f>
        <v>1385</v>
      </c>
      <c r="F250" s="9">
        <f ca="1">IFERROR(__xludf.DUMMYFUNCTION("GOOGLEFINANCE(C250,""change"")"),-49.25)</f>
        <v>-49.25</v>
      </c>
      <c r="G250" s="10">
        <f ca="1">IFERROR(__xludf.DUMMYFUNCTION("GOOGLEFINANCE(C250,""Changepct"")/100"),-0.0343)</f>
        <v>-3.4299999999999997E-2</v>
      </c>
      <c r="H250" s="11">
        <f ca="1">IFERROR(__xludf.DUMMYFUNCTION("GOOGLEFINANCE(C250,""Marketcap"")"),107185707676)</f>
        <v>107185707676</v>
      </c>
      <c r="I250" s="9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4" x14ac:dyDescent="0.3">
      <c r="A251" s="6" t="s">
        <v>530</v>
      </c>
      <c r="B251" s="6" t="s">
        <v>20</v>
      </c>
      <c r="C251" s="7" t="s">
        <v>531</v>
      </c>
      <c r="D251" s="7" t="s">
        <v>13</v>
      </c>
      <c r="E251" s="8">
        <f ca="1">IFERROR(__xludf.DUMMYFUNCTION("GOOGLEFINANCE(C251,""Price"")"),2777)</f>
        <v>2777</v>
      </c>
      <c r="F251" s="9">
        <f ca="1">IFERROR(__xludf.DUMMYFUNCTION("GOOGLEFINANCE(C251,""change"")"),0.3)</f>
        <v>0.3</v>
      </c>
      <c r="G251" s="10">
        <f ca="1">IFERROR(__xludf.DUMMYFUNCTION("GOOGLEFINANCE(C251,""Changepct"")/100"),0.0001)</f>
        <v>1E-4</v>
      </c>
      <c r="H251" s="11">
        <f ca="1">IFERROR(__xludf.DUMMYFUNCTION("GOOGLEFINANCE(C251,""Marketcap"")"),214573958020)</f>
        <v>214573958020</v>
      </c>
      <c r="I251" s="9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4" x14ac:dyDescent="0.3">
      <c r="A252" s="6" t="s">
        <v>532</v>
      </c>
      <c r="B252" s="6" t="s">
        <v>20</v>
      </c>
      <c r="C252" s="7" t="s">
        <v>533</v>
      </c>
      <c r="D252" s="7" t="s">
        <v>13</v>
      </c>
      <c r="E252" s="8">
        <f ca="1">IFERROR(__xludf.DUMMYFUNCTION("GOOGLEFINANCE(C252,""Price"")"),416)</f>
        <v>416</v>
      </c>
      <c r="F252" s="9">
        <f ca="1">IFERROR(__xludf.DUMMYFUNCTION("GOOGLEFINANCE(C252,""change"")"),4)</f>
        <v>4</v>
      </c>
      <c r="G252" s="10">
        <f ca="1">IFERROR(__xludf.DUMMYFUNCTION("GOOGLEFINANCE(C252,""Changepct"")/100"),0.0097)</f>
        <v>9.7000000000000003E-3</v>
      </c>
      <c r="H252" s="11">
        <f ca="1">IFERROR(__xludf.DUMMYFUNCTION("GOOGLEFINANCE(C252,""Marketcap"")"),48950720000)</f>
        <v>48950720000</v>
      </c>
      <c r="I252" s="9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4" x14ac:dyDescent="0.3">
      <c r="A253" s="6" t="s">
        <v>534</v>
      </c>
      <c r="B253" s="6" t="s">
        <v>229</v>
      </c>
      <c r="C253" s="7" t="s">
        <v>535</v>
      </c>
      <c r="D253" s="7" t="s">
        <v>13</v>
      </c>
      <c r="E253" s="8">
        <f ca="1">IFERROR(__xludf.DUMMYFUNCTION("GOOGLEFINANCE(C253,""Price"")"),141.6)</f>
        <v>141.6</v>
      </c>
      <c r="F253" s="9">
        <f ca="1">IFERROR(__xludf.DUMMYFUNCTION("GOOGLEFINANCE(C253,""change"")"),-2.3)</f>
        <v>-2.2999999999999998</v>
      </c>
      <c r="G253" s="10">
        <f ca="1">IFERROR(__xludf.DUMMYFUNCTION("GOOGLEFINANCE(C253,""Changepct"")/100"),-0.016)</f>
        <v>-1.6E-2</v>
      </c>
      <c r="H253" s="11">
        <f ca="1">IFERROR(__xludf.DUMMYFUNCTION("GOOGLEFINANCE(C253,""Marketcap"")"),24080437554)</f>
        <v>24080437554</v>
      </c>
      <c r="I253" s="9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4" x14ac:dyDescent="0.3">
      <c r="A254" s="6" t="s">
        <v>536</v>
      </c>
      <c r="B254" s="6" t="s">
        <v>82</v>
      </c>
      <c r="C254" s="7" t="s">
        <v>537</v>
      </c>
      <c r="D254" s="7" t="s">
        <v>13</v>
      </c>
      <c r="E254" s="8">
        <f ca="1">IFERROR(__xludf.DUMMYFUNCTION("GOOGLEFINANCE(C254,""Price"")"),116.4)</f>
        <v>116.4</v>
      </c>
      <c r="F254" s="9">
        <f ca="1">IFERROR(__xludf.DUMMYFUNCTION("GOOGLEFINANCE(C254,""change"")"),-3.4)</f>
        <v>-3.4</v>
      </c>
      <c r="G254" s="10">
        <f ca="1">IFERROR(__xludf.DUMMYFUNCTION("GOOGLEFINANCE(C254,""Changepct"")/100"),-0.0283999999999999)</f>
        <v>-2.8399999999999901E-2</v>
      </c>
      <c r="H254" s="11">
        <f ca="1">IFERROR(__xludf.DUMMYFUNCTION("GOOGLEFINANCE(C254,""Marketcap"")"),28820747922)</f>
        <v>28820747922</v>
      </c>
      <c r="I254" s="9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4" x14ac:dyDescent="0.3">
      <c r="A255" s="6" t="s">
        <v>538</v>
      </c>
      <c r="B255" s="6" t="s">
        <v>29</v>
      </c>
      <c r="C255" s="7" t="s">
        <v>539</v>
      </c>
      <c r="D255" s="7" t="s">
        <v>13</v>
      </c>
      <c r="E255" s="8">
        <f ca="1">IFERROR(__xludf.DUMMYFUNCTION("GOOGLEFINANCE(C255,""Price"")"),80.25)</f>
        <v>80.25</v>
      </c>
      <c r="F255" s="9">
        <f ca="1">IFERROR(__xludf.DUMMYFUNCTION("GOOGLEFINANCE(C255,""change"")"),-0.55)</f>
        <v>-0.55000000000000004</v>
      </c>
      <c r="G255" s="10">
        <f ca="1">IFERROR(__xludf.DUMMYFUNCTION("GOOGLEFINANCE(C255,""Changepct"")/100"),-0.0068)</f>
        <v>-6.7999999999999996E-3</v>
      </c>
      <c r="H255" s="11">
        <f ca="1">IFERROR(__xludf.DUMMYFUNCTION("GOOGLEFINANCE(C255,""Marketcap"")"),77073547311)</f>
        <v>77073547311</v>
      </c>
      <c r="I255" s="9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4" x14ac:dyDescent="0.3">
      <c r="A256" s="6" t="s">
        <v>540</v>
      </c>
      <c r="B256" s="6" t="s">
        <v>44</v>
      </c>
      <c r="C256" s="7" t="s">
        <v>541</v>
      </c>
      <c r="D256" s="7" t="s">
        <v>13</v>
      </c>
      <c r="E256" s="8">
        <f ca="1">IFERROR(__xludf.DUMMYFUNCTION("GOOGLEFINANCE(C256,""Price"")"),118)</f>
        <v>118</v>
      </c>
      <c r="F256" s="9">
        <f ca="1">IFERROR(__xludf.DUMMYFUNCTION("GOOGLEFINANCE(C256,""change"")"),-2.75)</f>
        <v>-2.75</v>
      </c>
      <c r="G256" s="10">
        <f ca="1">IFERROR(__xludf.DUMMYFUNCTION("GOOGLEFINANCE(C256,""Changepct"")/100"),-0.0227999999999999)</f>
        <v>-2.27999999999999E-2</v>
      </c>
      <c r="H256" s="11">
        <f ca="1">IFERROR(__xludf.DUMMYFUNCTION("GOOGLEFINANCE(C256,""Marketcap"")"),192973657500)</f>
        <v>192973657500</v>
      </c>
      <c r="I256" s="9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4" x14ac:dyDescent="0.3">
      <c r="A257" s="6" t="s">
        <v>542</v>
      </c>
      <c r="B257" s="6" t="s">
        <v>26</v>
      </c>
      <c r="C257" s="7" t="s">
        <v>543</v>
      </c>
      <c r="D257" s="7" t="s">
        <v>22</v>
      </c>
      <c r="E257" s="8">
        <f ca="1">IFERROR(__xludf.DUMMYFUNCTION("GOOGLEFINANCE(C257,""Price"")"),708.95)</f>
        <v>708.95</v>
      </c>
      <c r="F257" s="9">
        <f ca="1">IFERROR(__xludf.DUMMYFUNCTION("GOOGLEFINANCE(C257,""change"")"),-25.3)</f>
        <v>-25.3</v>
      </c>
      <c r="G257" s="10">
        <f ca="1">IFERROR(__xludf.DUMMYFUNCTION("GOOGLEFINANCE(C257,""Changepct"")/100"),-0.0345)</f>
        <v>-3.4500000000000003E-2</v>
      </c>
      <c r="H257" s="11">
        <f ca="1">IFERROR(__xludf.DUMMYFUNCTION("GOOGLEFINANCE(C257,""Marketcap"")"),1702796957500)</f>
        <v>1702796957500</v>
      </c>
      <c r="I257" s="9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4" x14ac:dyDescent="0.3">
      <c r="A258" s="6" t="s">
        <v>544</v>
      </c>
      <c r="B258" s="6" t="s">
        <v>82</v>
      </c>
      <c r="C258" s="7" t="s">
        <v>545</v>
      </c>
      <c r="D258" s="7" t="s">
        <v>13</v>
      </c>
      <c r="E258" s="8">
        <f ca="1">IFERROR(__xludf.DUMMYFUNCTION("GOOGLEFINANCE(C258,""Price"")"),85.25)</f>
        <v>85.25</v>
      </c>
      <c r="F258" s="9">
        <f ca="1">IFERROR(__xludf.DUMMYFUNCTION("GOOGLEFINANCE(C258,""change"")"),0.85)</f>
        <v>0.85</v>
      </c>
      <c r="G258" s="10">
        <f ca="1">IFERROR(__xludf.DUMMYFUNCTION("GOOGLEFINANCE(C258,""Changepct"")/100"),0.0101)</f>
        <v>1.01E-2</v>
      </c>
      <c r="H258" s="11">
        <f ca="1">IFERROR(__xludf.DUMMYFUNCTION("GOOGLEFINANCE(C258,""Marketcap"")"),20841954100)</f>
        <v>20841954100</v>
      </c>
      <c r="I258" s="9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4" x14ac:dyDescent="0.3">
      <c r="A259" s="6" t="s">
        <v>546</v>
      </c>
      <c r="B259" s="6" t="s">
        <v>82</v>
      </c>
      <c r="C259" s="7" t="s">
        <v>547</v>
      </c>
      <c r="D259" s="7" t="s">
        <v>13</v>
      </c>
      <c r="E259" s="8">
        <f ca="1">IFERROR(__xludf.DUMMYFUNCTION("GOOGLEFINANCE(C259,""Price"")"),69.7)</f>
        <v>69.7</v>
      </c>
      <c r="F259" s="9">
        <f ca="1">IFERROR(__xludf.DUMMYFUNCTION("GOOGLEFINANCE(C259,""change"")"),0.15)</f>
        <v>0.15</v>
      </c>
      <c r="G259" s="10">
        <f ca="1">IFERROR(__xludf.DUMMYFUNCTION("GOOGLEFINANCE(C259,""Changepct"")/100"),0.0022)</f>
        <v>2.2000000000000001E-3</v>
      </c>
      <c r="H259" s="11">
        <f ca="1">IFERROR(__xludf.DUMMYFUNCTION("GOOGLEFINANCE(C259,""Marketcap"")"),27533847971)</f>
        <v>27533847971</v>
      </c>
      <c r="I259" s="9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4" x14ac:dyDescent="0.3">
      <c r="A260" s="6" t="s">
        <v>548</v>
      </c>
      <c r="B260" s="6" t="s">
        <v>26</v>
      </c>
      <c r="C260" s="7" t="s">
        <v>549</v>
      </c>
      <c r="D260" s="7" t="s">
        <v>13</v>
      </c>
      <c r="E260" s="8">
        <f ca="1">IFERROR(__xludf.DUMMYFUNCTION("GOOGLEFINANCE(C260,""Price"")"),89.3)</f>
        <v>89.3</v>
      </c>
      <c r="F260" s="9">
        <f ca="1">IFERROR(__xludf.DUMMYFUNCTION("GOOGLEFINANCE(C260,""change"")"),-3.3)</f>
        <v>-3.3</v>
      </c>
      <c r="G260" s="10">
        <f ca="1">IFERROR(__xludf.DUMMYFUNCTION("GOOGLEFINANCE(C260,""Changepct"")/100"),-0.0356)</f>
        <v>-3.56E-2</v>
      </c>
      <c r="H260" s="11">
        <f ca="1">IFERROR(__xludf.DUMMYFUNCTION("GOOGLEFINANCE(C260,""Marketcap"")"),28281446944)</f>
        <v>28281446944</v>
      </c>
      <c r="I260" s="9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4" x14ac:dyDescent="0.3">
      <c r="A261" s="6" t="s">
        <v>550</v>
      </c>
      <c r="B261" s="6" t="s">
        <v>26</v>
      </c>
      <c r="C261" s="7" t="s">
        <v>551</v>
      </c>
      <c r="D261" s="7" t="s">
        <v>13</v>
      </c>
      <c r="E261" s="8">
        <f ca="1">IFERROR(__xludf.DUMMYFUNCTION("GOOGLEFINANCE(C261,""Price"")"),173.7)</f>
        <v>173.7</v>
      </c>
      <c r="F261" s="9">
        <f ca="1">IFERROR(__xludf.DUMMYFUNCTION("GOOGLEFINANCE(C261,""change"")"),-3.8)</f>
        <v>-3.8</v>
      </c>
      <c r="G261" s="10">
        <f ca="1">IFERROR(__xludf.DUMMYFUNCTION("GOOGLEFINANCE(C261,""Changepct"")/100"),-0.0214)</f>
        <v>-2.1399999999999999E-2</v>
      </c>
      <c r="H261" s="11">
        <f ca="1">IFERROR(__xludf.DUMMYFUNCTION("GOOGLEFINANCE(C261,""Marketcap"")"),41016509819)</f>
        <v>41016509819</v>
      </c>
      <c r="I261" s="9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4" x14ac:dyDescent="0.3">
      <c r="A262" s="6" t="s">
        <v>552</v>
      </c>
      <c r="B262" s="6" t="s">
        <v>26</v>
      </c>
      <c r="C262" s="7" t="s">
        <v>553</v>
      </c>
      <c r="D262" s="7" t="s">
        <v>13</v>
      </c>
      <c r="E262" s="8">
        <f ca="1">IFERROR(__xludf.DUMMYFUNCTION("GOOGLEFINANCE(C262,""Price"")"),96)</f>
        <v>96</v>
      </c>
      <c r="F262" s="9">
        <f ca="1">IFERROR(__xludf.DUMMYFUNCTION("GOOGLEFINANCE(C262,""change"")"),2.1)</f>
        <v>2.1</v>
      </c>
      <c r="G262" s="10">
        <f ca="1">IFERROR(__xludf.DUMMYFUNCTION("GOOGLEFINANCE(C262,""Changepct"")/100"),0.0224)</f>
        <v>2.24E-2</v>
      </c>
      <c r="H262" s="11">
        <f ca="1">IFERROR(__xludf.DUMMYFUNCTION("GOOGLEFINANCE(C262,""Marketcap"")"),46701435666)</f>
        <v>46701435666</v>
      </c>
      <c r="I262" s="9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4" x14ac:dyDescent="0.3">
      <c r="A263" s="6" t="s">
        <v>554</v>
      </c>
      <c r="B263" s="6" t="s">
        <v>26</v>
      </c>
      <c r="C263" s="7" t="s">
        <v>555</v>
      </c>
      <c r="D263" s="7" t="s">
        <v>22</v>
      </c>
      <c r="E263" s="8">
        <f ca="1">IFERROR(__xludf.DUMMYFUNCTION("GOOGLEFINANCE(C263,""Price"")"),455.55)</f>
        <v>455.55</v>
      </c>
      <c r="F263" s="9">
        <f ca="1">IFERROR(__xludf.DUMMYFUNCTION("GOOGLEFINANCE(C263,""change"")"),-20.65)</f>
        <v>-20.65</v>
      </c>
      <c r="G263" s="10">
        <f ca="1">IFERROR(__xludf.DUMMYFUNCTION("GOOGLEFINANCE(C263,""Changepct"")/100"),-0.0434)</f>
        <v>-4.3400000000000001E-2</v>
      </c>
      <c r="H263" s="11">
        <f ca="1">IFERROR(__xludf.DUMMYFUNCTION("GOOGLEFINANCE(C263,""Marketcap"")"),465401060839)</f>
        <v>465401060839</v>
      </c>
      <c r="I263" s="9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4" x14ac:dyDescent="0.3">
      <c r="A264" s="6" t="s">
        <v>556</v>
      </c>
      <c r="B264" s="6" t="s">
        <v>11</v>
      </c>
      <c r="C264" s="7" t="s">
        <v>557</v>
      </c>
      <c r="D264" s="7" t="s">
        <v>13</v>
      </c>
      <c r="E264" s="8">
        <f ca="1">IFERROR(__xludf.DUMMYFUNCTION("GOOGLEFINANCE(C264,""Price"")"),2238.4)</f>
        <v>2238.4</v>
      </c>
      <c r="F264" s="9">
        <f ca="1">IFERROR(__xludf.DUMMYFUNCTION("GOOGLEFINANCE(C264,""change"")"),0.25)</f>
        <v>0.25</v>
      </c>
      <c r="G264" s="10">
        <f ca="1">IFERROR(__xludf.DUMMYFUNCTION("GOOGLEFINANCE(C264,""Changepct"")/100"),0.0001)</f>
        <v>1E-4</v>
      </c>
      <c r="H264" s="11">
        <f ca="1">IFERROR(__xludf.DUMMYFUNCTION("GOOGLEFINANCE(C264,""Marketcap"")"),60864063136)</f>
        <v>60864063136</v>
      </c>
      <c r="I264" s="9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4" x14ac:dyDescent="0.3">
      <c r="A265" s="6" t="s">
        <v>558</v>
      </c>
      <c r="B265" s="6" t="s">
        <v>57</v>
      </c>
      <c r="C265" s="7" t="s">
        <v>559</v>
      </c>
      <c r="D265" s="7" t="s">
        <v>22</v>
      </c>
      <c r="E265" s="8">
        <f ca="1">IFERROR(__xludf.DUMMYFUNCTION("GOOGLEFINANCE(C265,""Price"")"),2817.9)</f>
        <v>2817.9</v>
      </c>
      <c r="F265" s="9">
        <f ca="1">IFERROR(__xludf.DUMMYFUNCTION("GOOGLEFINANCE(C265,""change"")"),-0.6)</f>
        <v>-0.6</v>
      </c>
      <c r="G265" s="10">
        <f ca="1">IFERROR(__xludf.DUMMYFUNCTION("GOOGLEFINANCE(C265,""Changepct"")/100"),-0.0002)</f>
        <v>-2.0000000000000001E-4</v>
      </c>
      <c r="H265" s="11">
        <f ca="1">IFERROR(__xludf.DUMMYFUNCTION("GOOGLEFINANCE(C265,""Marketcap"")"),371235487144)</f>
        <v>371235487144</v>
      </c>
      <c r="I265" s="9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4" x14ac:dyDescent="0.3">
      <c r="A266" s="6" t="s">
        <v>560</v>
      </c>
      <c r="B266" s="6" t="s">
        <v>57</v>
      </c>
      <c r="C266" s="7" t="s">
        <v>561</v>
      </c>
      <c r="D266" s="7" t="s">
        <v>13</v>
      </c>
      <c r="E266" s="8">
        <f ca="1">IFERROR(__xludf.DUMMYFUNCTION("GOOGLEFINANCE(C266,""Price"")"),804)</f>
        <v>804</v>
      </c>
      <c r="F266" s="9">
        <f ca="1">IFERROR(__xludf.DUMMYFUNCTION("GOOGLEFINANCE(C266,""change"")"),-1.7)</f>
        <v>-1.7</v>
      </c>
      <c r="G266" s="10">
        <f ca="1">IFERROR(__xludf.DUMMYFUNCTION("GOOGLEFINANCE(C266,""Changepct"")/100"),-0.0021)</f>
        <v>-2.0999999999999999E-3</v>
      </c>
      <c r="H266" s="11">
        <f ca="1">IFERROR(__xludf.DUMMYFUNCTION("GOOGLEFINANCE(C266,""Marketcap"")"),49636882405)</f>
        <v>49636882405</v>
      </c>
      <c r="I266" s="9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4" x14ac:dyDescent="0.3">
      <c r="A267" s="6" t="s">
        <v>562</v>
      </c>
      <c r="B267" s="6" t="s">
        <v>11</v>
      </c>
      <c r="C267" s="7" t="s">
        <v>563</v>
      </c>
      <c r="D267" s="7" t="s">
        <v>13</v>
      </c>
      <c r="E267" s="8">
        <f ca="1">IFERROR(__xludf.DUMMYFUNCTION("GOOGLEFINANCE(C267,""Price"")"),147.25)</f>
        <v>147.25</v>
      </c>
      <c r="F267" s="9">
        <f ca="1">IFERROR(__xludf.DUMMYFUNCTION("GOOGLEFINANCE(C267,""change"")"),0.85)</f>
        <v>0.85</v>
      </c>
      <c r="G267" s="10">
        <f ca="1">IFERROR(__xludf.DUMMYFUNCTION("GOOGLEFINANCE(C267,""Changepct"")/100"),0.0058)</f>
        <v>5.7999999999999996E-3</v>
      </c>
      <c r="H267" s="11">
        <f ca="1">IFERROR(__xludf.DUMMYFUNCTION("GOOGLEFINANCE(C267,""Marketcap"")"),54090275634)</f>
        <v>54090275634</v>
      </c>
      <c r="I267" s="9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4" x14ac:dyDescent="0.3">
      <c r="A268" s="6" t="s">
        <v>564</v>
      </c>
      <c r="B268" s="6" t="s">
        <v>79</v>
      </c>
      <c r="C268" s="7" t="s">
        <v>565</v>
      </c>
      <c r="D268" s="7" t="s">
        <v>13</v>
      </c>
      <c r="E268" s="8">
        <f ca="1">IFERROR(__xludf.DUMMYFUNCTION("GOOGLEFINANCE(C268,""Price"")"),1490.1)</f>
        <v>1490.1</v>
      </c>
      <c r="F268" s="9">
        <f ca="1">IFERROR(__xludf.DUMMYFUNCTION("GOOGLEFINANCE(C268,""change"")"),-14.95)</f>
        <v>-14.95</v>
      </c>
      <c r="G268" s="10">
        <f ca="1">IFERROR(__xludf.DUMMYFUNCTION("GOOGLEFINANCE(C268,""Changepct"")/100"),-0.00989999999999999)</f>
        <v>-9.8999999999999904E-3</v>
      </c>
      <c r="H268" s="11">
        <f ca="1">IFERROR(__xludf.DUMMYFUNCTION("GOOGLEFINANCE(C268,""Marketcap"")"),101514066837)</f>
        <v>101514066837</v>
      </c>
      <c r="I268" s="9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4" x14ac:dyDescent="0.3">
      <c r="A269" s="6" t="s">
        <v>566</v>
      </c>
      <c r="B269" s="6" t="s">
        <v>15</v>
      </c>
      <c r="C269" s="7" t="s">
        <v>567</v>
      </c>
      <c r="D269" s="7" t="s">
        <v>13</v>
      </c>
      <c r="E269" s="8">
        <f ca="1">IFERROR(__xludf.DUMMYFUNCTION("GOOGLEFINANCE(C269,""Price"")"),520.25)</f>
        <v>520.25</v>
      </c>
      <c r="F269" s="9">
        <f ca="1">IFERROR(__xludf.DUMMYFUNCTION("GOOGLEFINANCE(C269,""change"")"),0.15)</f>
        <v>0.15</v>
      </c>
      <c r="G269" s="10">
        <f ca="1">IFERROR(__xludf.DUMMYFUNCTION("GOOGLEFINANCE(C269,""Changepct"")/100"),0.0003)</f>
        <v>2.9999999999999997E-4</v>
      </c>
      <c r="H269" s="11">
        <f ca="1">IFERROR(__xludf.DUMMYFUNCTION("GOOGLEFINANCE(C269,""Marketcap"")"),46706862800)</f>
        <v>46706862800</v>
      </c>
      <c r="I269" s="9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4" x14ac:dyDescent="0.3">
      <c r="A270" s="6" t="s">
        <v>568</v>
      </c>
      <c r="B270" s="6" t="s">
        <v>100</v>
      </c>
      <c r="C270" s="7" t="s">
        <v>569</v>
      </c>
      <c r="D270" s="7" t="s">
        <v>13</v>
      </c>
      <c r="E270" s="8">
        <f ca="1">IFERROR(__xludf.DUMMYFUNCTION("GOOGLEFINANCE(C270,""Price"")"),213.8)</f>
        <v>213.8</v>
      </c>
      <c r="F270" s="9">
        <f ca="1">IFERROR(__xludf.DUMMYFUNCTION("GOOGLEFINANCE(C270,""change"")"),9.2)</f>
        <v>9.1999999999999993</v>
      </c>
      <c r="G270" s="10">
        <f ca="1">IFERROR(__xludf.DUMMYFUNCTION("GOOGLEFINANCE(C270,""Changepct"")/100"),0.045)</f>
        <v>4.4999999999999998E-2</v>
      </c>
      <c r="H270" s="11">
        <f ca="1">IFERROR(__xludf.DUMMYFUNCTION("GOOGLEFINANCE(C270,""Marketcap"")"),60495720596)</f>
        <v>60495720596</v>
      </c>
      <c r="I270" s="9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4" x14ac:dyDescent="0.3">
      <c r="A271" s="6" t="s">
        <v>570</v>
      </c>
      <c r="B271" s="6" t="s">
        <v>64</v>
      </c>
      <c r="C271" s="7" t="s">
        <v>571</v>
      </c>
      <c r="D271" s="7" t="s">
        <v>13</v>
      </c>
      <c r="E271" s="8">
        <f ca="1">IFERROR(__xludf.DUMMYFUNCTION("GOOGLEFINANCE(C271,""Price"")"),208.3)</f>
        <v>208.3</v>
      </c>
      <c r="F271" s="9">
        <f ca="1">IFERROR(__xludf.DUMMYFUNCTION("GOOGLEFINANCE(C271,""change"")"),-0.2)</f>
        <v>-0.2</v>
      </c>
      <c r="G271" s="10">
        <f ca="1">IFERROR(__xludf.DUMMYFUNCTION("GOOGLEFINANCE(C271,""Changepct"")/100"),-0.001)</f>
        <v>-1E-3</v>
      </c>
      <c r="H271" s="11">
        <f ca="1">IFERROR(__xludf.DUMMYFUNCTION("GOOGLEFINANCE(C271,""Marketcap"")"),56041761871)</f>
        <v>56041761871</v>
      </c>
      <c r="I271" s="9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4" x14ac:dyDescent="0.3">
      <c r="A272" s="6" t="s">
        <v>572</v>
      </c>
      <c r="B272" s="6" t="s">
        <v>11</v>
      </c>
      <c r="C272" s="7" t="s">
        <v>573</v>
      </c>
      <c r="D272" s="7" t="s">
        <v>13</v>
      </c>
      <c r="E272" s="8">
        <f ca="1">IFERROR(__xludf.DUMMYFUNCTION("GOOGLEFINANCE(C272,""Price"")"),234)</f>
        <v>234</v>
      </c>
      <c r="F272" s="9">
        <f ca="1">IFERROR(__xludf.DUMMYFUNCTION("GOOGLEFINANCE(C272,""change"")"),15.35)</f>
        <v>15.35</v>
      </c>
      <c r="G272" s="10">
        <f ca="1">IFERROR(__xludf.DUMMYFUNCTION("GOOGLEFINANCE(C272,""Changepct"")/100"),0.0702)</f>
        <v>7.0199999999999999E-2</v>
      </c>
      <c r="H272" s="11">
        <f ca="1">IFERROR(__xludf.DUMMYFUNCTION("GOOGLEFINANCE(C272,""Marketcap"")"),54711914075)</f>
        <v>54711914075</v>
      </c>
      <c r="I272" s="9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4" x14ac:dyDescent="0.3">
      <c r="A273" s="6" t="s">
        <v>574</v>
      </c>
      <c r="B273" s="6" t="s">
        <v>15</v>
      </c>
      <c r="C273" s="7" t="s">
        <v>575</v>
      </c>
      <c r="D273" s="7" t="s">
        <v>13</v>
      </c>
      <c r="E273" s="8">
        <f ca="1">IFERROR(__xludf.DUMMYFUNCTION("GOOGLEFINANCE(C273,""Price"")"),935)</f>
        <v>935</v>
      </c>
      <c r="F273" s="9">
        <f ca="1">IFERROR(__xludf.DUMMYFUNCTION("GOOGLEFINANCE(C273,""change"")"),8.15)</f>
        <v>8.15</v>
      </c>
      <c r="G273" s="10">
        <f ca="1">IFERROR(__xludf.DUMMYFUNCTION("GOOGLEFINANCE(C273,""Changepct"")/100"),0.0088)</f>
        <v>8.8000000000000005E-3</v>
      </c>
      <c r="H273" s="11">
        <f ca="1">IFERROR(__xludf.DUMMYFUNCTION("GOOGLEFINANCE(C273,""Marketcap"")"),32413100693)</f>
        <v>32413100693</v>
      </c>
      <c r="I273" s="9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4" x14ac:dyDescent="0.3">
      <c r="A274" s="6" t="s">
        <v>576</v>
      </c>
      <c r="B274" s="6" t="s">
        <v>11</v>
      </c>
      <c r="C274" s="7" t="s">
        <v>577</v>
      </c>
      <c r="D274" s="7" t="s">
        <v>13</v>
      </c>
      <c r="E274" s="8">
        <f ca="1">IFERROR(__xludf.DUMMYFUNCTION("GOOGLEFINANCE(C274,""Price"")"),877)</f>
        <v>877</v>
      </c>
      <c r="F274" s="9">
        <f ca="1">IFERROR(__xludf.DUMMYFUNCTION("GOOGLEFINANCE(C274,""change"")"),-2.05)</f>
        <v>-2.0499999999999998</v>
      </c>
      <c r="G274" s="10">
        <f ca="1">IFERROR(__xludf.DUMMYFUNCTION("GOOGLEFINANCE(C274,""Changepct"")/100"),-0.0023)</f>
        <v>-2.3E-3</v>
      </c>
      <c r="H274" s="11">
        <f ca="1">IFERROR(__xludf.DUMMYFUNCTION("GOOGLEFINANCE(C274,""Marketcap"")"),139514037000)</f>
        <v>139514037000</v>
      </c>
      <c r="I274" s="9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4" x14ac:dyDescent="0.3">
      <c r="A275" s="6" t="s">
        <v>578</v>
      </c>
      <c r="B275" s="6" t="s">
        <v>44</v>
      </c>
      <c r="C275" s="7" t="s">
        <v>579</v>
      </c>
      <c r="D275" s="7" t="s">
        <v>13</v>
      </c>
      <c r="E275" s="8">
        <f ca="1">IFERROR(__xludf.DUMMYFUNCTION("GOOGLEFINANCE(C275,""Price"")"),382)</f>
        <v>382</v>
      </c>
      <c r="F275" s="9">
        <f ca="1">IFERROR(__xludf.DUMMYFUNCTION("GOOGLEFINANCE(C275,""change"")"),3.6)</f>
        <v>3.6</v>
      </c>
      <c r="G275" s="10">
        <f ca="1">IFERROR(__xludf.DUMMYFUNCTION("GOOGLEFINANCE(C275,""Changepct"")/100"),0.0095)</f>
        <v>9.4999999999999998E-3</v>
      </c>
      <c r="H275" s="11">
        <f ca="1">IFERROR(__xludf.DUMMYFUNCTION("GOOGLEFINANCE(C275,""Marketcap"")"),56883314400)</f>
        <v>56883314400</v>
      </c>
      <c r="I275" s="9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4" x14ac:dyDescent="0.3">
      <c r="A276" s="6" t="s">
        <v>580</v>
      </c>
      <c r="B276" s="6" t="s">
        <v>11</v>
      </c>
      <c r="C276" s="7" t="s">
        <v>581</v>
      </c>
      <c r="D276" s="7" t="s">
        <v>13</v>
      </c>
      <c r="E276" s="8">
        <f ca="1">IFERROR(__xludf.DUMMYFUNCTION("GOOGLEFINANCE(C276,""Price"")"),557.5)</f>
        <v>557.5</v>
      </c>
      <c r="F276" s="9">
        <f ca="1">IFERROR(__xludf.DUMMYFUNCTION("GOOGLEFINANCE(C276,""change"")"),4.1)</f>
        <v>4.0999999999999996</v>
      </c>
      <c r="G276" s="10">
        <f ca="1">IFERROR(__xludf.DUMMYFUNCTION("GOOGLEFINANCE(C276,""Changepct"")/100"),0.0074)</f>
        <v>7.4000000000000003E-3</v>
      </c>
      <c r="H276" s="11">
        <f ca="1">IFERROR(__xludf.DUMMYFUNCTION("GOOGLEFINANCE(C276,""Marketcap"")"),300392907611)</f>
        <v>300392907611</v>
      </c>
      <c r="I276" s="9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4" x14ac:dyDescent="0.3">
      <c r="A277" s="6" t="s">
        <v>582</v>
      </c>
      <c r="B277" s="6" t="s">
        <v>29</v>
      </c>
      <c r="C277" s="7" t="s">
        <v>583</v>
      </c>
      <c r="D277" s="7" t="s">
        <v>13</v>
      </c>
      <c r="E277" s="8">
        <f ca="1">IFERROR(__xludf.DUMMYFUNCTION("GOOGLEFINANCE(C277,""Price"")"),56.2)</f>
        <v>56.2</v>
      </c>
      <c r="F277" s="9">
        <f ca="1">IFERROR(__xludf.DUMMYFUNCTION("GOOGLEFINANCE(C277,""change"")"),2.8)</f>
        <v>2.8</v>
      </c>
      <c r="G277" s="10">
        <f ca="1">IFERROR(__xludf.DUMMYFUNCTION("GOOGLEFINANCE(C277,""Changepct"")/100"),0.0524)</f>
        <v>5.2400000000000002E-2</v>
      </c>
      <c r="H277" s="11">
        <f ca="1">IFERROR(__xludf.DUMMYFUNCTION("GOOGLEFINANCE(C277,""Marketcap"")"),44600300831)</f>
        <v>44600300831</v>
      </c>
      <c r="I277" s="9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4" x14ac:dyDescent="0.3">
      <c r="A278" s="6" t="s">
        <v>584</v>
      </c>
      <c r="B278" s="6" t="s">
        <v>11</v>
      </c>
      <c r="C278" s="7" t="s">
        <v>585</v>
      </c>
      <c r="D278" s="7" t="s">
        <v>13</v>
      </c>
      <c r="E278" s="8">
        <f ca="1">IFERROR(__xludf.DUMMYFUNCTION("GOOGLEFINANCE(C278,""Price"")"),749.95)</f>
        <v>749.95</v>
      </c>
      <c r="F278" s="9">
        <f ca="1">IFERROR(__xludf.DUMMYFUNCTION("GOOGLEFINANCE(C278,""change"")"),6.7)</f>
        <v>6.7</v>
      </c>
      <c r="G278" s="10">
        <f ca="1">IFERROR(__xludf.DUMMYFUNCTION("GOOGLEFINANCE(C278,""Changepct"")/100"),0.009)</f>
        <v>8.9999999999999993E-3</v>
      </c>
      <c r="H278" s="11">
        <f ca="1">IFERROR(__xludf.DUMMYFUNCTION("GOOGLEFINANCE(C278,""Marketcap"")"),44174191830)</f>
        <v>44174191830</v>
      </c>
      <c r="I278" s="9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4" x14ac:dyDescent="0.3">
      <c r="A279" s="6" t="s">
        <v>586</v>
      </c>
      <c r="B279" s="6" t="s">
        <v>44</v>
      </c>
      <c r="C279" s="7" t="s">
        <v>587</v>
      </c>
      <c r="D279" s="7" t="s">
        <v>13</v>
      </c>
      <c r="E279" s="8">
        <f ca="1">IFERROR(__xludf.DUMMYFUNCTION("GOOGLEFINANCE(C279,""Price"")"),383.35)</f>
        <v>383.35</v>
      </c>
      <c r="F279" s="9">
        <f ca="1">IFERROR(__xludf.DUMMYFUNCTION("GOOGLEFINANCE(C279,""change"")"),1.95)</f>
        <v>1.95</v>
      </c>
      <c r="G279" s="10">
        <f ca="1">IFERROR(__xludf.DUMMYFUNCTION("GOOGLEFINANCE(C279,""Changepct"")/100"),0.0051)</f>
        <v>5.1000000000000004E-3</v>
      </c>
      <c r="H279" s="11">
        <f ca="1">IFERROR(__xludf.DUMMYFUNCTION("GOOGLEFINANCE(C279,""Marketcap"")"),98233586119)</f>
        <v>98233586119</v>
      </c>
      <c r="I279" s="9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4" x14ac:dyDescent="0.3">
      <c r="A280" s="6" t="s">
        <v>588</v>
      </c>
      <c r="B280" s="6" t="s">
        <v>29</v>
      </c>
      <c r="C280" s="7" t="s">
        <v>589</v>
      </c>
      <c r="D280" s="7" t="s">
        <v>22</v>
      </c>
      <c r="E280" s="8">
        <f ca="1">IFERROR(__xludf.DUMMYFUNCTION("GOOGLEFINANCE(C280,""Price"")"),1718.95)</f>
        <v>1718.95</v>
      </c>
      <c r="F280" s="9">
        <f ca="1">IFERROR(__xludf.DUMMYFUNCTION("GOOGLEFINANCE(C280,""change"")"),-36.5)</f>
        <v>-36.5</v>
      </c>
      <c r="G280" s="10">
        <f ca="1">IFERROR(__xludf.DUMMYFUNCTION("GOOGLEFINANCE(C280,""Changepct"")/100"),-0.0208)</f>
        <v>-2.0799999999999999E-2</v>
      </c>
      <c r="H280" s="11">
        <f ca="1">IFERROR(__xludf.DUMMYFUNCTION("GOOGLEFINANCE(C280,""Marketcap"")"),3411057190216)</f>
        <v>3411057190216</v>
      </c>
      <c r="I280" s="9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4" x14ac:dyDescent="0.3">
      <c r="A281" s="6" t="s">
        <v>590</v>
      </c>
      <c r="B281" s="6" t="s">
        <v>29</v>
      </c>
      <c r="C281" s="7" t="s">
        <v>591</v>
      </c>
      <c r="D281" s="7" t="s">
        <v>22</v>
      </c>
      <c r="E281" s="8">
        <f ca="1">IFERROR(__xludf.DUMMYFUNCTION("GOOGLEFINANCE(C281,""Price"")"),87.1)</f>
        <v>87.1</v>
      </c>
      <c r="F281" s="9">
        <f ca="1">IFERROR(__xludf.DUMMYFUNCTION("GOOGLEFINANCE(C281,""change"")"),-2)</f>
        <v>-2</v>
      </c>
      <c r="G281" s="10">
        <f ca="1">IFERROR(__xludf.DUMMYFUNCTION("GOOGLEFINANCE(C281,""Changepct"")/100"),-0.0224)</f>
        <v>-2.24E-2</v>
      </c>
      <c r="H281" s="11">
        <f ca="1">IFERROR(__xludf.DUMMYFUNCTION("GOOGLEFINANCE(C281,""Marketcap"")"),215061216000)</f>
        <v>215061216000</v>
      </c>
      <c r="I281" s="9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4" x14ac:dyDescent="0.3">
      <c r="A282" s="6" t="s">
        <v>592</v>
      </c>
      <c r="B282" s="6" t="s">
        <v>64</v>
      </c>
      <c r="C282" s="7" t="s">
        <v>593</v>
      </c>
      <c r="D282" s="7" t="s">
        <v>22</v>
      </c>
      <c r="E282" s="8">
        <f ca="1">IFERROR(__xludf.DUMMYFUNCTION("GOOGLEFINANCE(C282,""Price"")"),2532)</f>
        <v>2532</v>
      </c>
      <c r="F282" s="9">
        <f ca="1">IFERROR(__xludf.DUMMYFUNCTION("GOOGLEFINANCE(C282,""change"")"),1.55)</f>
        <v>1.55</v>
      </c>
      <c r="G282" s="10">
        <f ca="1">IFERROR(__xludf.DUMMYFUNCTION("GOOGLEFINANCE(C282,""Changepct"")/100"),0.0006)</f>
        <v>5.9999999999999995E-4</v>
      </c>
      <c r="H282" s="11">
        <f ca="1">IFERROR(__xludf.DUMMYFUNCTION("GOOGLEFINANCE(C282,""Marketcap"")"),265976218800)</f>
        <v>265976218800</v>
      </c>
      <c r="I282" s="9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4" x14ac:dyDescent="0.3">
      <c r="A283" s="6" t="s">
        <v>594</v>
      </c>
      <c r="B283" s="6" t="s">
        <v>29</v>
      </c>
      <c r="C283" s="7" t="s">
        <v>595</v>
      </c>
      <c r="D283" s="7" t="s">
        <v>22</v>
      </c>
      <c r="E283" s="8">
        <f ca="1">IFERROR(__xludf.DUMMYFUNCTION("GOOGLEFINANCE(C283,""Price"")"),428.7)</f>
        <v>428.7</v>
      </c>
      <c r="F283" s="9">
        <f ca="1">IFERROR(__xludf.DUMMYFUNCTION("GOOGLEFINANCE(C283,""change"")"),-0.45)</f>
        <v>-0.45</v>
      </c>
      <c r="G283" s="10">
        <f ca="1">IFERROR(__xludf.DUMMYFUNCTION("GOOGLEFINANCE(C283,""Changepct"")/100"),-0.001)</f>
        <v>-1E-3</v>
      </c>
      <c r="H283" s="11">
        <f ca="1">IFERROR(__xludf.DUMMYFUNCTION("GOOGLEFINANCE(C283,""Marketcap"")"),216348991390)</f>
        <v>216348991390</v>
      </c>
      <c r="I283" s="9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4" x14ac:dyDescent="0.3">
      <c r="A284" s="6" t="s">
        <v>596</v>
      </c>
      <c r="B284" s="6" t="s">
        <v>11</v>
      </c>
      <c r="C284" s="7" t="s">
        <v>597</v>
      </c>
      <c r="D284" s="7" t="s">
        <v>13</v>
      </c>
      <c r="E284" s="8">
        <f ca="1">IFERROR(__xludf.DUMMYFUNCTION("GOOGLEFINANCE(C284,""Price"")"),218)</f>
        <v>218</v>
      </c>
      <c r="F284" s="9">
        <f ca="1">IFERROR(__xludf.DUMMYFUNCTION("GOOGLEFINANCE(C284,""change"")"),-5.55)</f>
        <v>-5.55</v>
      </c>
      <c r="G284" s="10">
        <f ca="1">IFERROR(__xludf.DUMMYFUNCTION("GOOGLEFINANCE(C284,""Changepct"")/100"),-0.0248)</f>
        <v>-2.4799999999999999E-2</v>
      </c>
      <c r="H284" s="11">
        <f ca="1">IFERROR(__xludf.DUMMYFUNCTION("GOOGLEFINANCE(C284,""Marketcap"")"),24249084623)</f>
        <v>24249084623</v>
      </c>
      <c r="I284" s="9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4" x14ac:dyDescent="0.3">
      <c r="A285" s="6" t="s">
        <v>598</v>
      </c>
      <c r="B285" s="6" t="s">
        <v>15</v>
      </c>
      <c r="C285" s="7" t="s">
        <v>599</v>
      </c>
      <c r="D285" s="7" t="s">
        <v>13</v>
      </c>
      <c r="E285" s="8">
        <f ca="1">IFERROR(__xludf.DUMMYFUNCTION("GOOGLEFINANCE(C285,""Price"")"),6069.8)</f>
        <v>6069.8</v>
      </c>
      <c r="F285" s="9">
        <f ca="1">IFERROR(__xludf.DUMMYFUNCTION("GOOGLEFINANCE(C285,""change"")"),-7.9)</f>
        <v>-7.9</v>
      </c>
      <c r="G285" s="10">
        <f ca="1">IFERROR(__xludf.DUMMYFUNCTION("GOOGLEFINANCE(C285,""Changepct"")/100"),-0.0013)</f>
        <v>-1.2999999999999999E-3</v>
      </c>
      <c r="H285" s="11">
        <f ca="1">IFERROR(__xludf.DUMMYFUNCTION("GOOGLEFINANCE(C285,""Marketcap"")"),65153028011)</f>
        <v>65153028011</v>
      </c>
      <c r="I285" s="9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4" x14ac:dyDescent="0.3">
      <c r="A286" s="6" t="s">
        <v>600</v>
      </c>
      <c r="B286" s="6" t="s">
        <v>64</v>
      </c>
      <c r="C286" s="7" t="s">
        <v>601</v>
      </c>
      <c r="D286" s="7" t="s">
        <v>22</v>
      </c>
      <c r="E286" s="8">
        <f ca="1">IFERROR(__xludf.DUMMYFUNCTION("GOOGLEFINANCE(C286,""Price"")"),3661.5)</f>
        <v>3661.5</v>
      </c>
      <c r="F286" s="9">
        <f ca="1">IFERROR(__xludf.DUMMYFUNCTION("GOOGLEFINANCE(C286,""change"")"),42.65)</f>
        <v>42.65</v>
      </c>
      <c r="G286" s="10">
        <f ca="1">IFERROR(__xludf.DUMMYFUNCTION("GOOGLEFINANCE(C286,""Changepct"")/100"),0.0118)</f>
        <v>1.18E-2</v>
      </c>
      <c r="H286" s="11">
        <f ca="1">IFERROR(__xludf.DUMMYFUNCTION("GOOGLEFINANCE(C286,""Marketcap"")"),639742210538)</f>
        <v>639742210538</v>
      </c>
      <c r="I286" s="9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4" x14ac:dyDescent="0.3">
      <c r="A287" s="6" t="s">
        <v>602</v>
      </c>
      <c r="B287" s="6" t="s">
        <v>100</v>
      </c>
      <c r="C287" s="7" t="s">
        <v>603</v>
      </c>
      <c r="D287" s="7" t="s">
        <v>22</v>
      </c>
      <c r="E287" s="8">
        <f ca="1">IFERROR(__xludf.DUMMYFUNCTION("GOOGLEFINANCE(C287,""Price"")"),1386.95)</f>
        <v>1386.95</v>
      </c>
      <c r="F287" s="9">
        <f ca="1">IFERROR(__xludf.DUMMYFUNCTION("GOOGLEFINANCE(C287,""change"")"),3.35)</f>
        <v>3.35</v>
      </c>
      <c r="G287" s="10">
        <f ca="1">IFERROR(__xludf.DUMMYFUNCTION("GOOGLEFINANCE(C287,""Changepct"")/100"),0.0024)</f>
        <v>2.3999999999999998E-3</v>
      </c>
      <c r="H287" s="11">
        <f ca="1">IFERROR(__xludf.DUMMYFUNCTION("GOOGLEFINANCE(C287,""Marketcap"")"),1945098498723)</f>
        <v>1945098498723</v>
      </c>
      <c r="I287" s="9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4" x14ac:dyDescent="0.3">
      <c r="A288" s="6" t="s">
        <v>604</v>
      </c>
      <c r="B288" s="6" t="s">
        <v>32</v>
      </c>
      <c r="C288" s="7" t="s">
        <v>605</v>
      </c>
      <c r="D288" s="7" t="s">
        <v>13</v>
      </c>
      <c r="E288" s="8">
        <f ca="1">IFERROR(__xludf.DUMMYFUNCTION("GOOGLEFINANCE(C288,""Price"")"),486.3)</f>
        <v>486.3</v>
      </c>
      <c r="F288" s="9">
        <f ca="1">IFERROR(__xludf.DUMMYFUNCTION("GOOGLEFINANCE(C288,""change"")"),-5.45)</f>
        <v>-5.45</v>
      </c>
      <c r="G288" s="10">
        <f ca="1">IFERROR(__xludf.DUMMYFUNCTION("GOOGLEFINANCE(C288,""Changepct"")/100"),-0.0111)</f>
        <v>-1.11E-2</v>
      </c>
      <c r="H288" s="11">
        <f ca="1">IFERROR(__xludf.DUMMYFUNCTION("GOOGLEFINANCE(C288,""Marketcap"")"),260061586795)</f>
        <v>260061586795</v>
      </c>
      <c r="I288" s="9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4" x14ac:dyDescent="0.3">
      <c r="A289" s="6" t="s">
        <v>606</v>
      </c>
      <c r="B289" s="6" t="s">
        <v>57</v>
      </c>
      <c r="C289" s="7" t="s">
        <v>607</v>
      </c>
      <c r="D289" s="7" t="s">
        <v>13</v>
      </c>
      <c r="E289" s="8">
        <f ca="1">IFERROR(__xludf.DUMMYFUNCTION("GOOGLEFINANCE(C289,""Price"")"),38.25)</f>
        <v>38.25</v>
      </c>
      <c r="F289" s="9">
        <f ca="1">IFERROR(__xludf.DUMMYFUNCTION("GOOGLEFINANCE(C289,""change"")"),0.2)</f>
        <v>0.2</v>
      </c>
      <c r="G289" s="10">
        <f ca="1">IFERROR(__xludf.DUMMYFUNCTION("GOOGLEFINANCE(C289,""Changepct"")/100"),0.0053)</f>
        <v>5.3E-3</v>
      </c>
      <c r="H289" s="11">
        <f ca="1">IFERROR(__xludf.DUMMYFUNCTION("GOOGLEFINANCE(C289,""Marketcap"")"),30036068207)</f>
        <v>30036068207</v>
      </c>
      <c r="I289" s="9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4" x14ac:dyDescent="0.3">
      <c r="A290" s="6" t="s">
        <v>608</v>
      </c>
      <c r="B290" s="6" t="s">
        <v>35</v>
      </c>
      <c r="C290" s="7" t="s">
        <v>609</v>
      </c>
      <c r="D290" s="7" t="s">
        <v>13</v>
      </c>
      <c r="E290" s="8">
        <f ca="1">IFERROR(__xludf.DUMMYFUNCTION("GOOGLEFINANCE(C290,""Price"")"),1740)</f>
        <v>1740</v>
      </c>
      <c r="F290" s="9">
        <f ca="1">IFERROR(__xludf.DUMMYFUNCTION("GOOGLEFINANCE(C290,""change"")"),-53.15)</f>
        <v>-53.15</v>
      </c>
      <c r="G290" s="10">
        <f ca="1">IFERROR(__xludf.DUMMYFUNCTION("GOOGLEFINANCE(C290,""Changepct"")/100"),-0.0296)</f>
        <v>-2.9600000000000001E-2</v>
      </c>
      <c r="H290" s="11">
        <f ca="1">IFERROR(__xludf.DUMMYFUNCTION("GOOGLEFINANCE(C290,""Marketcap"")"),148427780500)</f>
        <v>148427780500</v>
      </c>
      <c r="I290" s="9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4" x14ac:dyDescent="0.3">
      <c r="A291" s="6" t="s">
        <v>610</v>
      </c>
      <c r="B291" s="6" t="s">
        <v>32</v>
      </c>
      <c r="C291" s="7" t="s">
        <v>611</v>
      </c>
      <c r="D291" s="7" t="s">
        <v>22</v>
      </c>
      <c r="E291" s="8">
        <f ca="1">IFERROR(__xludf.DUMMYFUNCTION("GOOGLEFINANCE(C291,""Price"")"),1210.05)</f>
        <v>1210.05</v>
      </c>
      <c r="F291" s="9">
        <f ca="1">IFERROR(__xludf.DUMMYFUNCTION("GOOGLEFINANCE(C291,""change"")"),12.7)</f>
        <v>12.7</v>
      </c>
      <c r="G291" s="10">
        <f ca="1">IFERROR(__xludf.DUMMYFUNCTION("GOOGLEFINANCE(C291,""Changepct"")/100"),0.0106)</f>
        <v>1.06E-2</v>
      </c>
      <c r="H291" s="11">
        <f ca="1">IFERROR(__xludf.DUMMYFUNCTION("GOOGLEFINANCE(C291,""Marketcap"")"),549236881200)</f>
        <v>549236881200</v>
      </c>
      <c r="I291" s="9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4" x14ac:dyDescent="0.3">
      <c r="A292" s="6" t="s">
        <v>612</v>
      </c>
      <c r="B292" s="6" t="s">
        <v>79</v>
      </c>
      <c r="C292" s="7" t="s">
        <v>613</v>
      </c>
      <c r="D292" s="7" t="s">
        <v>13</v>
      </c>
      <c r="E292" s="8">
        <f ca="1">IFERROR(__xludf.DUMMYFUNCTION("GOOGLEFINANCE(C292,""Price"")"),2027.1)</f>
        <v>2027.1</v>
      </c>
      <c r="F292" s="9">
        <f ca="1">IFERROR(__xludf.DUMMYFUNCTION("GOOGLEFINANCE(C292,""change"")"),4.85)</f>
        <v>4.8499999999999996</v>
      </c>
      <c r="G292" s="10">
        <f ca="1">IFERROR(__xludf.DUMMYFUNCTION("GOOGLEFINANCE(C292,""Changepct"")/100"),0.0024)</f>
        <v>2.3999999999999998E-3</v>
      </c>
      <c r="H292" s="11">
        <f ca="1">IFERROR(__xludf.DUMMYFUNCTION("GOOGLEFINANCE(C292,""Marketcap"")"),51229531080)</f>
        <v>51229531080</v>
      </c>
      <c r="I292" s="9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4" x14ac:dyDescent="0.3">
      <c r="A293" s="6" t="s">
        <v>614</v>
      </c>
      <c r="B293" s="6" t="s">
        <v>29</v>
      </c>
      <c r="C293" s="7" t="s">
        <v>615</v>
      </c>
      <c r="D293" s="7" t="s">
        <v>13</v>
      </c>
      <c r="E293" s="8">
        <f ca="1">IFERROR(__xludf.DUMMYFUNCTION("GOOGLEFINANCE(C293,""Price"")"),844.6)</f>
        <v>844.6</v>
      </c>
      <c r="F293" s="9">
        <f ca="1">IFERROR(__xludf.DUMMYFUNCTION("GOOGLEFINANCE(C293,""change"")"),40.8)</f>
        <v>40.799999999999997</v>
      </c>
      <c r="G293" s="10">
        <f ca="1">IFERROR(__xludf.DUMMYFUNCTION("GOOGLEFINANCE(C293,""Changepct"")/100"),0.0508)</f>
        <v>5.0799999999999998E-2</v>
      </c>
      <c r="H293" s="11">
        <f ca="1">IFERROR(__xludf.DUMMYFUNCTION("GOOGLEFINANCE(C293,""Marketcap"")"),46167557649)</f>
        <v>46167557649</v>
      </c>
      <c r="I293" s="9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4" x14ac:dyDescent="0.3">
      <c r="A294" s="6" t="s">
        <v>616</v>
      </c>
      <c r="B294" s="6" t="s">
        <v>47</v>
      </c>
      <c r="C294" s="7" t="s">
        <v>617</v>
      </c>
      <c r="D294" s="7" t="s">
        <v>13</v>
      </c>
      <c r="E294" s="8">
        <f ca="1">IFERROR(__xludf.DUMMYFUNCTION("GOOGLEFINANCE(C294,""Price"")"),55.95)</f>
        <v>55.95</v>
      </c>
      <c r="F294" s="9">
        <f ca="1">IFERROR(__xludf.DUMMYFUNCTION("GOOGLEFINANCE(C294,""change"")"),1.6)</f>
        <v>1.6</v>
      </c>
      <c r="G294" s="10">
        <f ca="1">IFERROR(__xludf.DUMMYFUNCTION("GOOGLEFINANCE(C294,""Changepct"")/100"),0.0294)</f>
        <v>2.9399999999999999E-2</v>
      </c>
      <c r="H294" s="11">
        <f ca="1">IFERROR(__xludf.DUMMYFUNCTION("GOOGLEFINANCE(C294,""Marketcap"")"),84152403904)</f>
        <v>84152403904</v>
      </c>
      <c r="I294" s="9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4" x14ac:dyDescent="0.3">
      <c r="A295" s="6" t="s">
        <v>618</v>
      </c>
      <c r="B295" s="6" t="s">
        <v>26</v>
      </c>
      <c r="C295" s="7" t="s">
        <v>619</v>
      </c>
      <c r="D295" s="7" t="s">
        <v>13</v>
      </c>
      <c r="E295" s="8">
        <f ca="1">IFERROR(__xludf.DUMMYFUNCTION("GOOGLEFINANCE(C295,""Price"")"),181.9)</f>
        <v>181.9</v>
      </c>
      <c r="F295" s="9">
        <f ca="1">IFERROR(__xludf.DUMMYFUNCTION("GOOGLEFINANCE(C295,""change"")"),-0.55)</f>
        <v>-0.55000000000000004</v>
      </c>
      <c r="G295" s="10">
        <f ca="1">IFERROR(__xludf.DUMMYFUNCTION("GOOGLEFINANCE(C295,""Changepct"")/100"),-0.003)</f>
        <v>-3.0000000000000001E-3</v>
      </c>
      <c r="H295" s="11">
        <f ca="1">IFERROR(__xludf.DUMMYFUNCTION("GOOGLEFINANCE(C295,""Marketcap"")"),42958586900)</f>
        <v>42958586900</v>
      </c>
      <c r="I295" s="9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4" x14ac:dyDescent="0.3">
      <c r="A296" s="6" t="s">
        <v>620</v>
      </c>
      <c r="B296" s="6" t="s">
        <v>82</v>
      </c>
      <c r="C296" s="7" t="s">
        <v>621</v>
      </c>
      <c r="D296" s="7" t="s">
        <v>22</v>
      </c>
      <c r="E296" s="8">
        <f ca="1">IFERROR(__xludf.DUMMYFUNCTION("GOOGLEFINANCE(C296,""Price"")"),77320)</f>
        <v>77320</v>
      </c>
      <c r="F296" s="9">
        <f ca="1">IFERROR(__xludf.DUMMYFUNCTION("GOOGLEFINANCE(C296,""change"")"),-1301.15)</f>
        <v>-1301.1500000000001</v>
      </c>
      <c r="G296" s="10">
        <f ca="1">IFERROR(__xludf.DUMMYFUNCTION("GOOGLEFINANCE(C296,""Changepct"")/100"),-0.0165)</f>
        <v>-1.6500000000000001E-2</v>
      </c>
      <c r="H296" s="11">
        <f ca="1">IFERROR(__xludf.DUMMYFUNCTION("GOOGLEFINANCE(C296,""Marketcap"")"),327949200406)</f>
        <v>327949200406</v>
      </c>
      <c r="I296" s="9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4" x14ac:dyDescent="0.3">
      <c r="A297" s="6" t="s">
        <v>622</v>
      </c>
      <c r="B297" s="6" t="s">
        <v>50</v>
      </c>
      <c r="C297" s="7" t="s">
        <v>623</v>
      </c>
      <c r="D297" s="7" t="s">
        <v>22</v>
      </c>
      <c r="E297" s="8">
        <f ca="1">IFERROR(__xludf.DUMMYFUNCTION("GOOGLEFINANCE(C297,""Price"")"),1135)</f>
        <v>1135</v>
      </c>
      <c r="F297" s="9">
        <f ca="1">IFERROR(__xludf.DUMMYFUNCTION("GOOGLEFINANCE(C297,""change"")"),-31.1)</f>
        <v>-31.1</v>
      </c>
      <c r="G297" s="10">
        <f ca="1">IFERROR(__xludf.DUMMYFUNCTION("GOOGLEFINANCE(C297,""Changepct"")/100"),-0.0266999999999999)</f>
        <v>-2.6699999999999901E-2</v>
      </c>
      <c r="H297" s="11">
        <f ca="1">IFERROR(__xludf.DUMMYFUNCTION("GOOGLEFINANCE(C297,""Marketcap"")"),111848974380)</f>
        <v>111848974380</v>
      </c>
      <c r="I297" s="9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4" x14ac:dyDescent="0.3">
      <c r="A298" s="6" t="s">
        <v>624</v>
      </c>
      <c r="B298" s="6" t="s">
        <v>29</v>
      </c>
      <c r="C298" s="7" t="s">
        <v>625</v>
      </c>
      <c r="D298" s="7" t="s">
        <v>13</v>
      </c>
      <c r="E298" s="8">
        <f ca="1">IFERROR(__xludf.DUMMYFUNCTION("GOOGLEFINANCE(C298,""Price"")"),3460)</f>
        <v>3460</v>
      </c>
      <c r="F298" s="9">
        <f ca="1">IFERROR(__xludf.DUMMYFUNCTION("GOOGLEFINANCE(C298,""change"")"),-26.75)</f>
        <v>-26.75</v>
      </c>
      <c r="G298" s="10">
        <f ca="1">IFERROR(__xludf.DUMMYFUNCTION("GOOGLEFINANCE(C298,""Changepct"")/100"),-0.0077)</f>
        <v>-7.7000000000000002E-3</v>
      </c>
      <c r="H298" s="11">
        <f ca="1">IFERROR(__xludf.DUMMYFUNCTION("GOOGLEFINANCE(C298,""Marketcap"")"),39542817600)</f>
        <v>39542817600</v>
      </c>
      <c r="I298" s="9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4" x14ac:dyDescent="0.3">
      <c r="A299" s="6" t="s">
        <v>626</v>
      </c>
      <c r="B299" s="6" t="s">
        <v>26</v>
      </c>
      <c r="C299" s="7" t="s">
        <v>627</v>
      </c>
      <c r="D299" s="7" t="s">
        <v>13</v>
      </c>
      <c r="E299" s="8">
        <f ca="1">IFERROR(__xludf.DUMMYFUNCTION("GOOGLEFINANCE(C299,""Price"")"),298.5)</f>
        <v>298.5</v>
      </c>
      <c r="F299" s="9">
        <f ca="1">IFERROR(__xludf.DUMMYFUNCTION("GOOGLEFINANCE(C299,""change"")"),-6.5)</f>
        <v>-6.5</v>
      </c>
      <c r="G299" s="10">
        <f ca="1">IFERROR(__xludf.DUMMYFUNCTION("GOOGLEFINANCE(C299,""Changepct"")/100"),-0.0213)</f>
        <v>-2.1299999999999999E-2</v>
      </c>
      <c r="H299" s="11">
        <f ca="1">IFERROR(__xludf.DUMMYFUNCTION("GOOGLEFINANCE(C299,""Marketcap"")"),19999389555)</f>
        <v>19999389555</v>
      </c>
      <c r="I299" s="9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4" x14ac:dyDescent="0.3">
      <c r="A300" s="6" t="s">
        <v>628</v>
      </c>
      <c r="B300" s="6" t="s">
        <v>29</v>
      </c>
      <c r="C300" s="7" t="s">
        <v>629</v>
      </c>
      <c r="D300" s="7" t="s">
        <v>22</v>
      </c>
      <c r="E300" s="8">
        <f ca="1">IFERROR(__xludf.DUMMYFUNCTION("GOOGLEFINANCE(C300,""Price"")"),152.2)</f>
        <v>152.19999999999999</v>
      </c>
      <c r="F300" s="9">
        <f ca="1">IFERROR(__xludf.DUMMYFUNCTION("GOOGLEFINANCE(C300,""change"")"),-2.8)</f>
        <v>-2.8</v>
      </c>
      <c r="G300" s="10">
        <f ca="1">IFERROR(__xludf.DUMMYFUNCTION("GOOGLEFINANCE(C300,""Changepct"")/100"),-0.0181)</f>
        <v>-1.8100000000000002E-2</v>
      </c>
      <c r="H300" s="11">
        <f ca="1">IFERROR(__xludf.DUMMYFUNCTION("GOOGLEFINANCE(C300,""Marketcap"")"),187628273259)</f>
        <v>187628273259</v>
      </c>
      <c r="I300" s="9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4" x14ac:dyDescent="0.3">
      <c r="A301" s="6" t="s">
        <v>630</v>
      </c>
      <c r="B301" s="6" t="s">
        <v>82</v>
      </c>
      <c r="C301" s="7" t="s">
        <v>631</v>
      </c>
      <c r="D301" s="7" t="s">
        <v>22</v>
      </c>
      <c r="E301" s="8">
        <f ca="1">IFERROR(__xludf.DUMMYFUNCTION("GOOGLEFINANCE(C301,""Price"")"),760.5)</f>
        <v>760.5</v>
      </c>
      <c r="F301" s="9">
        <f ca="1">IFERROR(__xludf.DUMMYFUNCTION("GOOGLEFINANCE(C301,""change"")"),-15.5)</f>
        <v>-15.5</v>
      </c>
      <c r="G301" s="10">
        <f ca="1">IFERROR(__xludf.DUMMYFUNCTION("GOOGLEFINANCE(C301,""Changepct"")/100"),-0.02)</f>
        <v>-0.02</v>
      </c>
      <c r="H301" s="11">
        <f ca="1">IFERROR(__xludf.DUMMYFUNCTION("GOOGLEFINANCE(C301,""Marketcap"")"),907878777223)</f>
        <v>907878777223</v>
      </c>
      <c r="I301" s="9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4" x14ac:dyDescent="0.3">
      <c r="A302" s="6" t="s">
        <v>632</v>
      </c>
      <c r="B302" s="6" t="s">
        <v>15</v>
      </c>
      <c r="C302" s="7" t="s">
        <v>633</v>
      </c>
      <c r="D302" s="7" t="s">
        <v>13</v>
      </c>
      <c r="E302" s="8">
        <f ca="1">IFERROR(__xludf.DUMMYFUNCTION("GOOGLEFINANCE(C302,""Price"")"),179.15)</f>
        <v>179.15</v>
      </c>
      <c r="F302" s="9">
        <f ca="1">IFERROR(__xludf.DUMMYFUNCTION("GOOGLEFINANCE(C302,""change"")"),-3.85)</f>
        <v>-3.85</v>
      </c>
      <c r="G302" s="10">
        <f ca="1">IFERROR(__xludf.DUMMYFUNCTION("GOOGLEFINANCE(C302,""Changepct"")/100"),-0.021)</f>
        <v>-2.1000000000000001E-2</v>
      </c>
      <c r="H302" s="11">
        <f ca="1">IFERROR(__xludf.DUMMYFUNCTION("GOOGLEFINANCE(C302,""Marketcap"")"),67864388824)</f>
        <v>67864388824</v>
      </c>
      <c r="I302" s="9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4" x14ac:dyDescent="0.3">
      <c r="A303" s="6" t="s">
        <v>634</v>
      </c>
      <c r="B303" s="6" t="s">
        <v>57</v>
      </c>
      <c r="C303" s="7" t="s">
        <v>635</v>
      </c>
      <c r="D303" s="7" t="s">
        <v>13</v>
      </c>
      <c r="E303" s="8">
        <f ca="1">IFERROR(__xludf.DUMMYFUNCTION("GOOGLEFINANCE(C303,""Price"")"),213)</f>
        <v>213</v>
      </c>
      <c r="F303" s="9">
        <f ca="1">IFERROR(__xludf.DUMMYFUNCTION("GOOGLEFINANCE(C303,""change"")"),-1.85)</f>
        <v>-1.85</v>
      </c>
      <c r="G303" s="10">
        <f ca="1">IFERROR(__xludf.DUMMYFUNCTION("GOOGLEFINANCE(C303,""Changepct"")/100"),-0.0086)</f>
        <v>-8.6E-3</v>
      </c>
      <c r="H303" s="11">
        <f ca="1">IFERROR(__xludf.DUMMYFUNCTION("GOOGLEFINANCE(C303,""Marketcap"")"),28179824400)</f>
        <v>28179824400</v>
      </c>
      <c r="I303" s="9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4" x14ac:dyDescent="0.3">
      <c r="A304" s="6" t="s">
        <v>636</v>
      </c>
      <c r="B304" s="6" t="s">
        <v>47</v>
      </c>
      <c r="C304" s="7" t="s">
        <v>637</v>
      </c>
      <c r="D304" s="7" t="s">
        <v>13</v>
      </c>
      <c r="E304" s="8">
        <f ca="1">IFERROR(__xludf.DUMMYFUNCTION("GOOGLEFINANCE(C304,""Price"")"),539.5)</f>
        <v>539.5</v>
      </c>
      <c r="F304" s="9">
        <f ca="1">IFERROR(__xludf.DUMMYFUNCTION("GOOGLEFINANCE(C304,""change"")"),-6.1)</f>
        <v>-6.1</v>
      </c>
      <c r="G304" s="10">
        <f ca="1">IFERROR(__xludf.DUMMYFUNCTION("GOOGLEFINANCE(C304,""Changepct"")/100"),-0.0112)</f>
        <v>-1.12E-2</v>
      </c>
      <c r="H304" s="11">
        <f ca="1">IFERROR(__xludf.DUMMYFUNCTION("GOOGLEFINANCE(C304,""Marketcap"")"),38688624000)</f>
        <v>38688624000</v>
      </c>
      <c r="I304" s="9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4" x14ac:dyDescent="0.3">
      <c r="A305" s="6" t="s">
        <v>638</v>
      </c>
      <c r="B305" s="6" t="s">
        <v>29</v>
      </c>
      <c r="C305" s="7" t="s">
        <v>639</v>
      </c>
      <c r="D305" s="7" t="s">
        <v>22</v>
      </c>
      <c r="E305" s="8">
        <f ca="1">IFERROR(__xludf.DUMMYFUNCTION("GOOGLEFINANCE(C305,""Price"")"),153.1)</f>
        <v>153.1</v>
      </c>
      <c r="F305" s="9">
        <f ca="1">IFERROR(__xludf.DUMMYFUNCTION("GOOGLEFINANCE(C305,""change"")"),-0.75)</f>
        <v>-0.75</v>
      </c>
      <c r="G305" s="10">
        <f ca="1">IFERROR(__xludf.DUMMYFUNCTION("GOOGLEFINANCE(C305,""Changepct"")/100"),-0.0049)</f>
        <v>-4.8999999999999998E-3</v>
      </c>
      <c r="H305" s="11">
        <f ca="1">IFERROR(__xludf.DUMMYFUNCTION("GOOGLEFINANCE(C305,""Marketcap"")"),129747534025)</f>
        <v>129747534025</v>
      </c>
      <c r="I305" s="9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4" x14ac:dyDescent="0.3">
      <c r="A306" s="6" t="s">
        <v>640</v>
      </c>
      <c r="B306" s="6" t="s">
        <v>50</v>
      </c>
      <c r="C306" s="7" t="s">
        <v>641</v>
      </c>
      <c r="D306" s="7" t="s">
        <v>13</v>
      </c>
      <c r="E306" s="8">
        <f ca="1">IFERROR(__xludf.DUMMYFUNCTION("GOOGLEFINANCE(C306,""Price"")"),47.5)</f>
        <v>47.5</v>
      </c>
      <c r="F306" s="9">
        <f ca="1">IFERROR(__xludf.DUMMYFUNCTION("GOOGLEFINANCE(C306,""change"")"),0.95)</f>
        <v>0.95</v>
      </c>
      <c r="G306" s="10">
        <f ca="1">IFERROR(__xludf.DUMMYFUNCTION("GOOGLEFINANCE(C306,""Changepct"")/100"),0.0204)</f>
        <v>2.0400000000000001E-2</v>
      </c>
      <c r="H306" s="11">
        <f ca="1">IFERROR(__xludf.DUMMYFUNCTION("GOOGLEFINANCE(C306,""Marketcap"")"),83949446874)</f>
        <v>83949446874</v>
      </c>
      <c r="I306" s="9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4" x14ac:dyDescent="0.3">
      <c r="A307" s="6" t="s">
        <v>642</v>
      </c>
      <c r="B307" s="6" t="s">
        <v>11</v>
      </c>
      <c r="C307" s="7" t="s">
        <v>643</v>
      </c>
      <c r="D307" s="7" t="s">
        <v>22</v>
      </c>
      <c r="E307" s="8">
        <f ca="1">IFERROR(__xludf.DUMMYFUNCTION("GOOGLEFINANCE(C307,""Price"")"),470.7)</f>
        <v>470.7</v>
      </c>
      <c r="F307" s="9">
        <f ca="1">IFERROR(__xludf.DUMMYFUNCTION("GOOGLEFINANCE(C307,""change"")"),-8.9)</f>
        <v>-8.9</v>
      </c>
      <c r="G307" s="10">
        <f ca="1">IFERROR(__xludf.DUMMYFUNCTION("GOOGLEFINANCE(C307,""Changepct"")/100"),-0.0186)</f>
        <v>-1.8599999999999998E-2</v>
      </c>
      <c r="H307" s="11">
        <f ca="1">IFERROR(__xludf.DUMMYFUNCTION("GOOGLEFINANCE(C307,""Marketcap"")"),607256675548)</f>
        <v>607256675548</v>
      </c>
      <c r="I307" s="9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4" x14ac:dyDescent="0.3">
      <c r="A308" s="6" t="s">
        <v>644</v>
      </c>
      <c r="B308" s="6" t="s">
        <v>82</v>
      </c>
      <c r="C308" s="7" t="s">
        <v>645</v>
      </c>
      <c r="D308" s="7" t="s">
        <v>22</v>
      </c>
      <c r="E308" s="8">
        <f ca="1">IFERROR(__xludf.DUMMYFUNCTION("GOOGLEFINANCE(C308,""Price"")"),6825)</f>
        <v>6825</v>
      </c>
      <c r="F308" s="9">
        <f ca="1">IFERROR(__xludf.DUMMYFUNCTION("GOOGLEFINANCE(C308,""change"")"),88.35)</f>
        <v>88.35</v>
      </c>
      <c r="G308" s="10">
        <f ca="1">IFERROR(__xludf.DUMMYFUNCTION("GOOGLEFINANCE(C308,""Changepct"")/100"),0.0131)</f>
        <v>1.3100000000000001E-2</v>
      </c>
      <c r="H308" s="11">
        <f ca="1">IFERROR(__xludf.DUMMYFUNCTION("GOOGLEFINANCE(C308,""Marketcap"")"),2059603901310)</f>
        <v>2059603901310</v>
      </c>
      <c r="I308" s="9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4" x14ac:dyDescent="0.3">
      <c r="A309" s="6" t="s">
        <v>646</v>
      </c>
      <c r="B309" s="6" t="s">
        <v>29</v>
      </c>
      <c r="C309" s="7" t="s">
        <v>647</v>
      </c>
      <c r="D309" s="7" t="s">
        <v>22</v>
      </c>
      <c r="E309" s="8">
        <f ca="1">IFERROR(__xludf.DUMMYFUNCTION("GOOGLEFINANCE(C309,""Price"")"),891.1)</f>
        <v>891.1</v>
      </c>
      <c r="F309" s="9">
        <f ca="1">IFERROR(__xludf.DUMMYFUNCTION("GOOGLEFINANCE(C309,""change"")"),-26.95)</f>
        <v>-26.95</v>
      </c>
      <c r="G309" s="10">
        <f ca="1">IFERROR(__xludf.DUMMYFUNCTION("GOOGLEFINANCE(C309,""Changepct"")/100"),-0.0294)</f>
        <v>-2.9399999999999999E-2</v>
      </c>
      <c r="H309" s="11">
        <f ca="1">IFERROR(__xludf.DUMMYFUNCTION("GOOGLEFINANCE(C309,""Marketcap"")"),307734648000)</f>
        <v>307734648000</v>
      </c>
      <c r="I309" s="9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4" x14ac:dyDescent="0.3">
      <c r="A310" s="6" t="s">
        <v>648</v>
      </c>
      <c r="B310" s="6" t="s">
        <v>91</v>
      </c>
      <c r="C310" s="7" t="s">
        <v>649</v>
      </c>
      <c r="D310" s="7" t="s">
        <v>13</v>
      </c>
      <c r="E310" s="8">
        <f ca="1">IFERROR(__xludf.DUMMYFUNCTION("GOOGLEFINANCE(C310,""Price"")"),221.7)</f>
        <v>221.7</v>
      </c>
      <c r="F310" s="9">
        <f ca="1">IFERROR(__xludf.DUMMYFUNCTION("GOOGLEFINANCE(C310,""change"")"),-12.45)</f>
        <v>-12.45</v>
      </c>
      <c r="G310" s="10">
        <f ca="1">IFERROR(__xludf.DUMMYFUNCTION("GOOGLEFINANCE(C310,""Changepct"")/100"),-0.0532)</f>
        <v>-5.3199999999999997E-2</v>
      </c>
      <c r="H310" s="11">
        <f ca="1">IFERROR(__xludf.DUMMYFUNCTION("GOOGLEFINANCE(C310,""Marketcap"")"),216403242064)</f>
        <v>216403242064</v>
      </c>
      <c r="I310" s="9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4" x14ac:dyDescent="0.3">
      <c r="A311" s="6" t="s">
        <v>650</v>
      </c>
      <c r="B311" s="6" t="s">
        <v>15</v>
      </c>
      <c r="C311" s="7" t="s">
        <v>651</v>
      </c>
      <c r="D311" s="7" t="s">
        <v>13</v>
      </c>
      <c r="E311" s="8">
        <f ca="1">IFERROR(__xludf.DUMMYFUNCTION("GOOGLEFINANCE(C311,""Price"")"),208.4)</f>
        <v>208.4</v>
      </c>
      <c r="F311" s="9">
        <f ca="1">IFERROR(__xludf.DUMMYFUNCTION("GOOGLEFINANCE(C311,""change"")"),-4.85)</f>
        <v>-4.8499999999999996</v>
      </c>
      <c r="G311" s="10">
        <f ca="1">IFERROR(__xludf.DUMMYFUNCTION("GOOGLEFINANCE(C311,""Changepct"")/100"),-0.0227)</f>
        <v>-2.2700000000000001E-2</v>
      </c>
      <c r="H311" s="11">
        <f ca="1">IFERROR(__xludf.DUMMYFUNCTION("GOOGLEFINANCE(C311,""Marketcap"")"),42273873700)</f>
        <v>42273873700</v>
      </c>
      <c r="I311" s="9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4" x14ac:dyDescent="0.3">
      <c r="A312" s="6" t="s">
        <v>652</v>
      </c>
      <c r="B312" s="6" t="s">
        <v>91</v>
      </c>
      <c r="C312" s="7" t="s">
        <v>653</v>
      </c>
      <c r="D312" s="7" t="s">
        <v>13</v>
      </c>
      <c r="E312" s="8">
        <f ca="1">IFERROR(__xludf.DUMMYFUNCTION("GOOGLEFINANCE(C312,""Price"")"),2365)</f>
        <v>2365</v>
      </c>
      <c r="F312" s="9">
        <f ca="1">IFERROR(__xludf.DUMMYFUNCTION("GOOGLEFINANCE(C312,""change"")"),60.15)</f>
        <v>60.15</v>
      </c>
      <c r="G312" s="10">
        <f ca="1">IFERROR(__xludf.DUMMYFUNCTION("GOOGLEFINANCE(C312,""Changepct"")/100"),0.0260999999999999)</f>
        <v>2.6099999999999901E-2</v>
      </c>
      <c r="H312" s="11">
        <f ca="1">IFERROR(__xludf.DUMMYFUNCTION("GOOGLEFINANCE(C312,""Marketcap"")"),121372396132)</f>
        <v>121372396132</v>
      </c>
      <c r="I312" s="9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4" x14ac:dyDescent="0.3">
      <c r="A313" s="6" t="s">
        <v>654</v>
      </c>
      <c r="B313" s="6" t="s">
        <v>64</v>
      </c>
      <c r="C313" s="7" t="s">
        <v>655</v>
      </c>
      <c r="D313" s="7" t="s">
        <v>22</v>
      </c>
      <c r="E313" s="8">
        <f ca="1">IFERROR(__xludf.DUMMYFUNCTION("GOOGLEFINANCE(C313,""Price"")"),2166)</f>
        <v>2166</v>
      </c>
      <c r="F313" s="9">
        <f ca="1">IFERROR(__xludf.DUMMYFUNCTION("GOOGLEFINANCE(C313,""change"")"),-34.9)</f>
        <v>-34.9</v>
      </c>
      <c r="G313" s="10">
        <f ca="1">IFERROR(__xludf.DUMMYFUNCTION("GOOGLEFINANCE(C313,""Changepct"")/100"),-0.0159)</f>
        <v>-1.5900000000000001E-2</v>
      </c>
      <c r="H313" s="11">
        <f ca="1">IFERROR(__xludf.DUMMYFUNCTION("GOOGLEFINANCE(C313,""Marketcap"")"),357495131000)</f>
        <v>357495131000</v>
      </c>
      <c r="I313" s="9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4" x14ac:dyDescent="0.3">
      <c r="A314" s="6" t="s">
        <v>656</v>
      </c>
      <c r="B314" s="6" t="s">
        <v>82</v>
      </c>
      <c r="C314" s="7" t="s">
        <v>657</v>
      </c>
      <c r="D314" s="7" t="s">
        <v>13</v>
      </c>
      <c r="E314" s="8">
        <f ca="1">IFERROR(__xludf.DUMMYFUNCTION("GOOGLEFINANCE(C314,""Price"")"),103.9)</f>
        <v>103.9</v>
      </c>
      <c r="F314" s="9">
        <f ca="1">IFERROR(__xludf.DUMMYFUNCTION("GOOGLEFINANCE(C314,""change"")"),-2.9)</f>
        <v>-2.9</v>
      </c>
      <c r="G314" s="10">
        <f ca="1">IFERROR(__xludf.DUMMYFUNCTION("GOOGLEFINANCE(C314,""Changepct"")/100"),-0.0272)</f>
        <v>-2.7199999999999998E-2</v>
      </c>
      <c r="H314" s="11">
        <f ca="1">IFERROR(__xludf.DUMMYFUNCTION("GOOGLEFINANCE(C314,""Marketcap"")"),24566964333)</f>
        <v>24566964333</v>
      </c>
      <c r="I314" s="9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4" x14ac:dyDescent="0.3">
      <c r="A315" s="6" t="s">
        <v>658</v>
      </c>
      <c r="B315" s="6" t="s">
        <v>82</v>
      </c>
      <c r="C315" s="7" t="s">
        <v>659</v>
      </c>
      <c r="D315" s="7" t="s">
        <v>13</v>
      </c>
      <c r="E315" s="8">
        <f ca="1">IFERROR(__xludf.DUMMYFUNCTION("GOOGLEFINANCE(C315,""Price"")"),528.95)</f>
        <v>528.95000000000005</v>
      </c>
      <c r="F315" s="9">
        <f ca="1">IFERROR(__xludf.DUMMYFUNCTION("GOOGLEFINANCE(C315,""change"")"),-2.9)</f>
        <v>-2.9</v>
      </c>
      <c r="G315" s="10">
        <f ca="1">IFERROR(__xludf.DUMMYFUNCTION("GOOGLEFINANCE(C315,""Changepct"")/100"),-0.0055)</f>
        <v>-5.4999999999999997E-3</v>
      </c>
      <c r="H315" s="11">
        <f ca="1">IFERROR(__xludf.DUMMYFUNCTION("GOOGLEFINANCE(C315,""Marketcap"")"),142665934950)</f>
        <v>142665934950</v>
      </c>
      <c r="I315" s="9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4" x14ac:dyDescent="0.3">
      <c r="A316" s="6" t="s">
        <v>660</v>
      </c>
      <c r="B316" s="6" t="s">
        <v>26</v>
      </c>
      <c r="C316" s="7" t="s">
        <v>661</v>
      </c>
      <c r="D316" s="7" t="s">
        <v>13</v>
      </c>
      <c r="E316" s="8">
        <f ca="1">IFERROR(__xludf.DUMMYFUNCTION("GOOGLEFINANCE(C316,""Price"")"),200.25)</f>
        <v>200.25</v>
      </c>
      <c r="F316" s="9">
        <f ca="1">IFERROR(__xludf.DUMMYFUNCTION("GOOGLEFINANCE(C316,""change"")"),-2.55)</f>
        <v>-2.5499999999999998</v>
      </c>
      <c r="G316" s="10">
        <f ca="1">IFERROR(__xludf.DUMMYFUNCTION("GOOGLEFINANCE(C316,""Changepct"")/100"),-0.0126)</f>
        <v>-1.26E-2</v>
      </c>
      <c r="H316" s="11">
        <f ca="1">IFERROR(__xludf.DUMMYFUNCTION("GOOGLEFINANCE(C316,""Marketcap"")"),37505447408)</f>
        <v>37505447408</v>
      </c>
      <c r="I316" s="9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4" x14ac:dyDescent="0.3">
      <c r="A317" s="6" t="s">
        <v>662</v>
      </c>
      <c r="B317" s="6" t="s">
        <v>82</v>
      </c>
      <c r="C317" s="7" t="s">
        <v>663</v>
      </c>
      <c r="D317" s="7" t="s">
        <v>22</v>
      </c>
      <c r="E317" s="8">
        <f ca="1">IFERROR(__xludf.DUMMYFUNCTION("GOOGLEFINANCE(C317,""Price"")"),236.5)</f>
        <v>236.5</v>
      </c>
      <c r="F317" s="9">
        <f ca="1">IFERROR(__xludf.DUMMYFUNCTION("GOOGLEFINANCE(C317,""change"")"),3.35)</f>
        <v>3.35</v>
      </c>
      <c r="G317" s="10">
        <f ca="1">IFERROR(__xludf.DUMMYFUNCTION("GOOGLEFINANCE(C317,""Changepct"")/100"),0.0144)</f>
        <v>1.44E-2</v>
      </c>
      <c r="H317" s="11">
        <f ca="1">IFERROR(__xludf.DUMMYFUNCTION("GOOGLEFINANCE(C317,""Marketcap"")"),745754178104)</f>
        <v>745754178104</v>
      </c>
      <c r="I317" s="9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4" x14ac:dyDescent="0.3">
      <c r="A318" s="6" t="s">
        <v>664</v>
      </c>
      <c r="B318" s="6" t="s">
        <v>29</v>
      </c>
      <c r="C318" s="7" t="s">
        <v>665</v>
      </c>
      <c r="D318" s="7" t="s">
        <v>13</v>
      </c>
      <c r="E318" s="8">
        <f ca="1">IFERROR(__xludf.DUMMYFUNCTION("GOOGLEFINANCE(C318,""Price"")"),710)</f>
        <v>710</v>
      </c>
      <c r="F318" s="9">
        <f ca="1">IFERROR(__xludf.DUMMYFUNCTION("GOOGLEFINANCE(C318,""change"")"),-21)</f>
        <v>-21</v>
      </c>
      <c r="G318" s="10">
        <f ca="1">IFERROR(__xludf.DUMMYFUNCTION("GOOGLEFINANCE(C318,""Changepct"")/100"),-0.0287)</f>
        <v>-2.87E-2</v>
      </c>
      <c r="H318" s="11">
        <f ca="1">IFERROR(__xludf.DUMMYFUNCTION("GOOGLEFINANCE(C318,""Marketcap"")"),103165090491)</f>
        <v>103165090491</v>
      </c>
      <c r="I318" s="9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4" x14ac:dyDescent="0.3">
      <c r="A319" s="6" t="s">
        <v>666</v>
      </c>
      <c r="B319" s="6" t="s">
        <v>64</v>
      </c>
      <c r="C319" s="7" t="s">
        <v>667</v>
      </c>
      <c r="D319" s="7" t="s">
        <v>22</v>
      </c>
      <c r="E319" s="8">
        <f ca="1">IFERROR(__xludf.DUMMYFUNCTION("GOOGLEFINANCE(C319,""Price"")"),1798.9)</f>
        <v>1798.9</v>
      </c>
      <c r="F319" s="9">
        <f ca="1">IFERROR(__xludf.DUMMYFUNCTION("GOOGLEFINANCE(C319,""change"")"),-49.8)</f>
        <v>-49.8</v>
      </c>
      <c r="G319" s="10">
        <f ca="1">IFERROR(__xludf.DUMMYFUNCTION("GOOGLEFINANCE(C319,""Changepct"")/100"),-0.0269)</f>
        <v>-2.69E-2</v>
      </c>
      <c r="H319" s="11">
        <f ca="1">IFERROR(__xludf.DUMMYFUNCTION("GOOGLEFINANCE(C319,""Marketcap"")"),337351338800)</f>
        <v>337351338800</v>
      </c>
      <c r="I319" s="9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4" x14ac:dyDescent="0.3">
      <c r="A320" s="6" t="s">
        <v>668</v>
      </c>
      <c r="B320" s="6" t="s">
        <v>29</v>
      </c>
      <c r="C320" s="7" t="s">
        <v>669</v>
      </c>
      <c r="D320" s="7" t="s">
        <v>13</v>
      </c>
      <c r="E320" s="8">
        <f ca="1">IFERROR(__xludf.DUMMYFUNCTION("GOOGLEFINANCE(C320,""Price"")"),1558)</f>
        <v>1558</v>
      </c>
      <c r="F320" s="9">
        <f ca="1">IFERROR(__xludf.DUMMYFUNCTION("GOOGLEFINANCE(C320,""change"")"),-9.35)</f>
        <v>-9.35</v>
      </c>
      <c r="G320" s="10">
        <f ca="1">IFERROR(__xludf.DUMMYFUNCTION("GOOGLEFINANCE(C320,""Changepct"")/100"),-0.006)</f>
        <v>-6.0000000000000001E-3</v>
      </c>
      <c r="H320" s="11">
        <f ca="1">IFERROR(__xludf.DUMMYFUNCTION("GOOGLEFINANCE(C320,""Marketcap"")"),79455460460)</f>
        <v>79455460460</v>
      </c>
      <c r="I320" s="9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4" x14ac:dyDescent="0.3">
      <c r="A321" s="6" t="s">
        <v>670</v>
      </c>
      <c r="B321" s="6" t="s">
        <v>29</v>
      </c>
      <c r="C321" s="7" t="s">
        <v>671</v>
      </c>
      <c r="D321" s="7" t="s">
        <v>22</v>
      </c>
      <c r="E321" s="8">
        <f ca="1">IFERROR(__xludf.DUMMYFUNCTION("GOOGLEFINANCE(C321,""Price"")"),1170)</f>
        <v>1170</v>
      </c>
      <c r="F321" s="9">
        <f ca="1">IFERROR(__xludf.DUMMYFUNCTION("GOOGLEFINANCE(C321,""change"")"),-27.95)</f>
        <v>-27.95</v>
      </c>
      <c r="G321" s="10">
        <f ca="1">IFERROR(__xludf.DUMMYFUNCTION("GOOGLEFINANCE(C321,""Changepct"")/100"),-0.0233)</f>
        <v>-2.3300000000000001E-2</v>
      </c>
      <c r="H321" s="11">
        <f ca="1">IFERROR(__xludf.DUMMYFUNCTION("GOOGLEFINANCE(C321,""Marketcap"")"),469180427678)</f>
        <v>469180427678</v>
      </c>
      <c r="I321" s="9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4" x14ac:dyDescent="0.3">
      <c r="A322" s="6" t="s">
        <v>672</v>
      </c>
      <c r="B322" s="6" t="s">
        <v>32</v>
      </c>
      <c r="C322" s="7" t="s">
        <v>673</v>
      </c>
      <c r="D322" s="7" t="s">
        <v>13</v>
      </c>
      <c r="E322" s="8">
        <f ca="1">IFERROR(__xludf.DUMMYFUNCTION("GOOGLEFINANCE(C322,""Price"")"),926)</f>
        <v>926</v>
      </c>
      <c r="F322" s="9">
        <f ca="1">IFERROR(__xludf.DUMMYFUNCTION("GOOGLEFINANCE(C322,""change"")"),0.4)</f>
        <v>0.4</v>
      </c>
      <c r="G322" s="10">
        <f ca="1">IFERROR(__xludf.DUMMYFUNCTION("GOOGLEFINANCE(C322,""Changepct"")/100"),0.0004)</f>
        <v>4.0000000000000002E-4</v>
      </c>
      <c r="H322" s="11">
        <f ca="1">IFERROR(__xludf.DUMMYFUNCTION("GOOGLEFINANCE(C322,""Marketcap"")"),168380525000)</f>
        <v>168380525000</v>
      </c>
      <c r="I322" s="9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4" x14ac:dyDescent="0.3">
      <c r="A323" s="6" t="s">
        <v>674</v>
      </c>
      <c r="B323" s="6" t="s">
        <v>100</v>
      </c>
      <c r="C323" s="7" t="s">
        <v>675</v>
      </c>
      <c r="D323" s="7" t="s">
        <v>13</v>
      </c>
      <c r="E323" s="8">
        <f ca="1">IFERROR(__xludf.DUMMYFUNCTION("GOOGLEFINANCE(C323,""Price"")"),50.15)</f>
        <v>50.15</v>
      </c>
      <c r="F323" s="9">
        <f ca="1">IFERROR(__xludf.DUMMYFUNCTION("GOOGLEFINANCE(C323,""change"")"),0)</f>
        <v>0</v>
      </c>
      <c r="G323" s="10">
        <f ca="1">IFERROR(__xludf.DUMMYFUNCTION("GOOGLEFINANCE(C323,""Changepct"")/100"),0)</f>
        <v>0</v>
      </c>
      <c r="H323" s="11">
        <f ca="1">IFERROR(__xludf.DUMMYFUNCTION("GOOGLEFINANCE(C323,""Marketcap"")"),90089998626)</f>
        <v>90089998626</v>
      </c>
      <c r="I323" s="9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4" x14ac:dyDescent="0.3">
      <c r="A324" s="6" t="s">
        <v>676</v>
      </c>
      <c r="B324" s="6" t="s">
        <v>100</v>
      </c>
      <c r="C324" s="7" t="s">
        <v>677</v>
      </c>
      <c r="D324" s="7" t="s">
        <v>13</v>
      </c>
      <c r="E324" s="8">
        <f ca="1">IFERROR(__xludf.DUMMYFUNCTION("GOOGLEFINANCE(C324,""Price"")"),79.3)</f>
        <v>79.3</v>
      </c>
      <c r="F324" s="9">
        <f ca="1">IFERROR(__xludf.DUMMYFUNCTION("GOOGLEFINANCE(C324,""change"")"),-1.75)</f>
        <v>-1.75</v>
      </c>
      <c r="G324" s="10">
        <f ca="1">IFERROR(__xludf.DUMMYFUNCTION("GOOGLEFINANCE(C324,""Changepct"")/100"),-0.0216)</f>
        <v>-2.1600000000000001E-2</v>
      </c>
      <c r="H324" s="11">
        <f ca="1">IFERROR(__xludf.DUMMYFUNCTION("GOOGLEFINANCE(C324,""Marketcap"")"),48209123530)</f>
        <v>48209123530</v>
      </c>
      <c r="I324" s="9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4" x14ac:dyDescent="0.3">
      <c r="A325" s="6" t="s">
        <v>678</v>
      </c>
      <c r="B325" s="6" t="s">
        <v>47</v>
      </c>
      <c r="C325" s="7" t="s">
        <v>679</v>
      </c>
      <c r="D325" s="7" t="s">
        <v>13</v>
      </c>
      <c r="E325" s="8">
        <f ca="1">IFERROR(__xludf.DUMMYFUNCTION("GOOGLEFINANCE(C325,""Price"")"),504.95)</f>
        <v>504.95</v>
      </c>
      <c r="F325" s="9">
        <f ca="1">IFERROR(__xludf.DUMMYFUNCTION("GOOGLEFINANCE(C325,""change"")"),3.3)</f>
        <v>3.3</v>
      </c>
      <c r="G325" s="10">
        <f ca="1">IFERROR(__xludf.DUMMYFUNCTION("GOOGLEFINANCE(C325,""Changepct"")/100"),0.0066)</f>
        <v>6.6E-3</v>
      </c>
      <c r="H325" s="11">
        <f ca="1">IFERROR(__xludf.DUMMYFUNCTION("GOOGLEFINANCE(C325,""Marketcap"")"),35578757662)</f>
        <v>35578757662</v>
      </c>
      <c r="I325" s="9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4" x14ac:dyDescent="0.3">
      <c r="A326" s="6" t="s">
        <v>680</v>
      </c>
      <c r="B326" s="6" t="s">
        <v>44</v>
      </c>
      <c r="C326" s="7" t="s">
        <v>681</v>
      </c>
      <c r="D326" s="7" t="s">
        <v>13</v>
      </c>
      <c r="E326" s="8">
        <f ca="1">IFERROR(__xludf.DUMMYFUNCTION("GOOGLEFINANCE(C326,""Price"")"),26.65)</f>
        <v>26.65</v>
      </c>
      <c r="F326" s="9">
        <f ca="1">IFERROR(__xludf.DUMMYFUNCTION("GOOGLEFINANCE(C326,""change"")"),0.15)</f>
        <v>0.15</v>
      </c>
      <c r="G326" s="10">
        <f ca="1">IFERROR(__xludf.DUMMYFUNCTION("GOOGLEFINANCE(C326,""Changepct"")/100"),0.00569999999999999)</f>
        <v>5.6999999999999898E-3</v>
      </c>
      <c r="H326" s="11">
        <f ca="1">IFERROR(__xludf.DUMMYFUNCTION("GOOGLEFINANCE(C326,""Marketcap"")"),267197801831)</f>
        <v>267197801831</v>
      </c>
      <c r="I326" s="9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4" x14ac:dyDescent="0.3">
      <c r="A327" s="6" t="s">
        <v>682</v>
      </c>
      <c r="B327" s="6" t="s">
        <v>44</v>
      </c>
      <c r="C327" s="7" t="s">
        <v>683</v>
      </c>
      <c r="D327" s="7" t="s">
        <v>13</v>
      </c>
      <c r="E327" s="8">
        <f ca="1">IFERROR(__xludf.DUMMYFUNCTION("GOOGLEFINANCE(C327,""Price"")"),64)</f>
        <v>64</v>
      </c>
      <c r="F327" s="9">
        <f ca="1">IFERROR(__xludf.DUMMYFUNCTION("GOOGLEFINANCE(C327,""change"")"),0.4)</f>
        <v>0.4</v>
      </c>
      <c r="G327" s="10">
        <f ca="1">IFERROR(__xludf.DUMMYFUNCTION("GOOGLEFINANCE(C327,""Changepct"")/100"),0.0063)</f>
        <v>6.3E-3</v>
      </c>
      <c r="H327" s="11">
        <f ca="1">IFERROR(__xludf.DUMMYFUNCTION("GOOGLEFINANCE(C327,""Marketcap"")"),88051810354)</f>
        <v>88051810354</v>
      </c>
      <c r="I327" s="9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4" x14ac:dyDescent="0.3">
      <c r="A328" s="6" t="s">
        <v>684</v>
      </c>
      <c r="B328" s="6" t="s">
        <v>26</v>
      </c>
      <c r="C328" s="7" t="s">
        <v>685</v>
      </c>
      <c r="D328" s="7" t="s">
        <v>22</v>
      </c>
      <c r="E328" s="8">
        <f ca="1">IFERROR(__xludf.DUMMYFUNCTION("GOOGLEFINANCE(C328,""Price"")"),202.9)</f>
        <v>202.9</v>
      </c>
      <c r="F328" s="9">
        <f ca="1">IFERROR(__xludf.DUMMYFUNCTION("GOOGLEFINANCE(C328,""change"")"),5.95)</f>
        <v>5.95</v>
      </c>
      <c r="G328" s="10">
        <f ca="1">IFERROR(__xludf.DUMMYFUNCTION("GOOGLEFINANCE(C328,""Changepct"")/100"),0.0302)</f>
        <v>3.0200000000000001E-2</v>
      </c>
      <c r="H328" s="11">
        <f ca="1">IFERROR(__xludf.DUMMYFUNCTION("GOOGLEFINANCE(C328,""Marketcap"")"),594770694208)</f>
        <v>594770694208</v>
      </c>
      <c r="I328" s="9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4" x14ac:dyDescent="0.3">
      <c r="A329" s="6" t="s">
        <v>686</v>
      </c>
      <c r="B329" s="6" t="s">
        <v>35</v>
      </c>
      <c r="C329" s="7" t="s">
        <v>687</v>
      </c>
      <c r="D329" s="7" t="s">
        <v>13</v>
      </c>
      <c r="E329" s="8">
        <f ca="1">IFERROR(__xludf.DUMMYFUNCTION("GOOGLEFINANCE(C329,""Price"")"),200.45)</f>
        <v>200.45</v>
      </c>
      <c r="F329" s="9">
        <f ca="1">IFERROR(__xludf.DUMMYFUNCTION("GOOGLEFINANCE(C329,""change"")"),-3.2)</f>
        <v>-3.2</v>
      </c>
      <c r="G329" s="10">
        <f ca="1">IFERROR(__xludf.DUMMYFUNCTION("GOOGLEFINANCE(C329,""Changepct"")/100"),-0.0157)</f>
        <v>-1.5699999999999999E-2</v>
      </c>
      <c r="H329" s="11">
        <f ca="1">IFERROR(__xludf.DUMMYFUNCTION("GOOGLEFINANCE(C329,""Marketcap"")"),33374588400)</f>
        <v>33374588400</v>
      </c>
      <c r="I329" s="9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4" x14ac:dyDescent="0.3">
      <c r="A330" s="6" t="s">
        <v>688</v>
      </c>
      <c r="B330" s="6" t="s">
        <v>44</v>
      </c>
      <c r="C330" s="7" t="s">
        <v>689</v>
      </c>
      <c r="D330" s="7" t="s">
        <v>22</v>
      </c>
      <c r="E330" s="8">
        <f ca="1">IFERROR(__xludf.DUMMYFUNCTION("GOOGLEFINANCE(C330,""Price"")"),113.25)</f>
        <v>113.25</v>
      </c>
      <c r="F330" s="9">
        <f ca="1">IFERROR(__xludf.DUMMYFUNCTION("GOOGLEFINANCE(C330,""change"")"),0.55)</f>
        <v>0.55000000000000004</v>
      </c>
      <c r="G330" s="10">
        <f ca="1">IFERROR(__xludf.DUMMYFUNCTION("GOOGLEFINANCE(C330,""Changepct"")/100"),0.0049)</f>
        <v>4.8999999999999998E-3</v>
      </c>
      <c r="H330" s="11">
        <f ca="1">IFERROR(__xludf.DUMMYFUNCTION("GOOGLEFINANCE(C330,""Marketcap"")"),1098634512750)</f>
        <v>1098634512750</v>
      </c>
      <c r="I330" s="9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4" x14ac:dyDescent="0.3">
      <c r="A331" s="6" t="s">
        <v>690</v>
      </c>
      <c r="B331" s="6" t="s">
        <v>91</v>
      </c>
      <c r="C331" s="7" t="s">
        <v>691</v>
      </c>
      <c r="D331" s="7" t="s">
        <v>13</v>
      </c>
      <c r="E331" s="8">
        <f ca="1">IFERROR(__xludf.DUMMYFUNCTION("GOOGLEFINANCE(C331,""Price"")"),411.1)</f>
        <v>411.1</v>
      </c>
      <c r="F331" s="9">
        <f ca="1">IFERROR(__xludf.DUMMYFUNCTION("GOOGLEFINANCE(C331,""change"")"),3.85)</f>
        <v>3.85</v>
      </c>
      <c r="G331" s="10">
        <f ca="1">IFERROR(__xludf.DUMMYFUNCTION("GOOGLEFINANCE(C331,""Changepct"")/100"),0.0095)</f>
        <v>9.4999999999999998E-3</v>
      </c>
      <c r="H331" s="11">
        <f ca="1">IFERROR(__xludf.DUMMYFUNCTION("GOOGLEFINANCE(C331,""Marketcap"")"),83858465123)</f>
        <v>83858465123</v>
      </c>
      <c r="I331" s="9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4" x14ac:dyDescent="0.3">
      <c r="A332" s="6" t="s">
        <v>692</v>
      </c>
      <c r="B332" s="6" t="s">
        <v>26</v>
      </c>
      <c r="C332" s="7" t="s">
        <v>693</v>
      </c>
      <c r="D332" s="7" t="s">
        <v>22</v>
      </c>
      <c r="E332" s="8">
        <f ca="1">IFERROR(__xludf.DUMMYFUNCTION("GOOGLEFINANCE(C332,""Price"")"),75.65)</f>
        <v>75.650000000000006</v>
      </c>
      <c r="F332" s="9">
        <f ca="1">IFERROR(__xludf.DUMMYFUNCTION("GOOGLEFINANCE(C332,""change"")"),-3.85)</f>
        <v>-3.85</v>
      </c>
      <c r="G332" s="10">
        <f ca="1">IFERROR(__xludf.DUMMYFUNCTION("GOOGLEFINANCE(C332,""Changepct"")/100"),-0.0484)</f>
        <v>-4.8399999999999999E-2</v>
      </c>
      <c r="H332" s="11">
        <f ca="1">IFERROR(__xludf.DUMMYFUNCTION("GOOGLEFINANCE(C332,""Marketcap"")"),137834025000)</f>
        <v>137834025000</v>
      </c>
      <c r="I332" s="9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4" x14ac:dyDescent="0.3">
      <c r="A333" s="6" t="s">
        <v>694</v>
      </c>
      <c r="B333" s="6" t="s">
        <v>157</v>
      </c>
      <c r="C333" s="7" t="s">
        <v>695</v>
      </c>
      <c r="D333" s="7" t="s">
        <v>13</v>
      </c>
      <c r="E333" s="8">
        <f ca="1">IFERROR(__xludf.DUMMYFUNCTION("GOOGLEFINANCE(C333,""Price"")"),69.45)</f>
        <v>69.45</v>
      </c>
      <c r="F333" s="9">
        <f ca="1">IFERROR(__xludf.DUMMYFUNCTION("GOOGLEFINANCE(C333,""change"")"),6.75)</f>
        <v>6.75</v>
      </c>
      <c r="G333" s="10">
        <f ca="1">IFERROR(__xludf.DUMMYFUNCTION("GOOGLEFINANCE(C333,""Changepct"")/100"),0.107699999999999)</f>
        <v>0.107699999999999</v>
      </c>
      <c r="H333" s="11">
        <f ca="1">IFERROR(__xludf.DUMMYFUNCTION("GOOGLEFINANCE(C333,""Marketcap"")"),33707439310)</f>
        <v>33707439310</v>
      </c>
      <c r="I333" s="9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4" x14ac:dyDescent="0.3">
      <c r="A334" s="6" t="s">
        <v>696</v>
      </c>
      <c r="B334" s="6" t="s">
        <v>35</v>
      </c>
      <c r="C334" s="7" t="s">
        <v>697</v>
      </c>
      <c r="D334" s="7" t="s">
        <v>22</v>
      </c>
      <c r="E334" s="8">
        <f ca="1">IFERROR(__xludf.DUMMYFUNCTION("GOOGLEFINANCE(C334,""Price"")"),3200)</f>
        <v>3200</v>
      </c>
      <c r="F334" s="9">
        <f ca="1">IFERROR(__xludf.DUMMYFUNCTION("GOOGLEFINANCE(C334,""change"")"),37.1)</f>
        <v>37.1</v>
      </c>
      <c r="G334" s="10">
        <f ca="1">IFERROR(__xludf.DUMMYFUNCTION("GOOGLEFINANCE(C334,""Changepct"")/100"),0.0116999999999999)</f>
        <v>1.16999999999999E-2</v>
      </c>
      <c r="H334" s="11">
        <f ca="1">IFERROR(__xludf.DUMMYFUNCTION("GOOGLEFINANCE(C334,""Marketcap"")"),158725595024)</f>
        <v>158725595024</v>
      </c>
      <c r="I334" s="9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4" x14ac:dyDescent="0.3">
      <c r="A335" s="6" t="s">
        <v>698</v>
      </c>
      <c r="B335" s="6" t="s">
        <v>11</v>
      </c>
      <c r="C335" s="7" t="s">
        <v>699</v>
      </c>
      <c r="D335" s="7" t="s">
        <v>22</v>
      </c>
      <c r="E335" s="8">
        <f ca="1">IFERROR(__xludf.DUMMYFUNCTION("GOOGLEFINANCE(C335,""Price"")"),16719.9)</f>
        <v>16719.900000000001</v>
      </c>
      <c r="F335" s="9">
        <f ca="1">IFERROR(__xludf.DUMMYFUNCTION("GOOGLEFINANCE(C335,""change"")"),-150.2)</f>
        <v>-150.19999999999999</v>
      </c>
      <c r="G335" s="10">
        <f ca="1">IFERROR(__xludf.DUMMYFUNCTION("GOOGLEFINANCE(C335,""Changepct"")/100"),-0.0089)</f>
        <v>-8.8999999999999999E-3</v>
      </c>
      <c r="H335" s="11">
        <f ca="1">IFERROR(__xludf.DUMMYFUNCTION("GOOGLEFINANCE(C335,""Marketcap"")"),1609965118130)</f>
        <v>1609965118130</v>
      </c>
      <c r="I335" s="9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4" x14ac:dyDescent="0.3">
      <c r="A336" s="6" t="s">
        <v>700</v>
      </c>
      <c r="B336" s="6" t="s">
        <v>288</v>
      </c>
      <c r="C336" s="7" t="s">
        <v>701</v>
      </c>
      <c r="D336" s="7" t="s">
        <v>13</v>
      </c>
      <c r="E336" s="8">
        <f ca="1">IFERROR(__xludf.DUMMYFUNCTION("GOOGLEFINANCE(C336,""Price"")"),40)</f>
        <v>40</v>
      </c>
      <c r="F336" s="9">
        <f ca="1">IFERROR(__xludf.DUMMYFUNCTION("GOOGLEFINANCE(C336,""change"")"),-0.85)</f>
        <v>-0.85</v>
      </c>
      <c r="G336" s="10">
        <f ca="1">IFERROR(__xludf.DUMMYFUNCTION("GOOGLEFINANCE(C336,""Changepct"")/100"),-0.0208)</f>
        <v>-2.0799999999999999E-2</v>
      </c>
      <c r="H336" s="11">
        <f ca="1">IFERROR(__xludf.DUMMYFUNCTION("GOOGLEFINANCE(C336,""Marketcap"")"),41930266601)</f>
        <v>41930266601</v>
      </c>
      <c r="I336" s="9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4" x14ac:dyDescent="0.3">
      <c r="A337" s="6" t="s">
        <v>702</v>
      </c>
      <c r="B337" s="6" t="s">
        <v>15</v>
      </c>
      <c r="C337" s="7" t="s">
        <v>703</v>
      </c>
      <c r="D337" s="7" t="s">
        <v>13</v>
      </c>
      <c r="E337" s="8">
        <f ca="1">IFERROR(__xludf.DUMMYFUNCTION("GOOGLEFINANCE(C337,""Price"")"),2101.05)</f>
        <v>2101.0500000000002</v>
      </c>
      <c r="F337" s="9">
        <f ca="1">IFERROR(__xludf.DUMMYFUNCTION("GOOGLEFINANCE(C337,""change"")"),-24.9)</f>
        <v>-24.9</v>
      </c>
      <c r="G337" s="10">
        <f ca="1">IFERROR(__xludf.DUMMYFUNCTION("GOOGLEFINANCE(C337,""Changepct"")/100"),-0.0116999999999999)</f>
        <v>-1.16999999999999E-2</v>
      </c>
      <c r="H337" s="11">
        <f ca="1">IFERROR(__xludf.DUMMYFUNCTION("GOOGLEFINANCE(C337,""Marketcap"")"),31411365259)</f>
        <v>31411365259</v>
      </c>
      <c r="I337" s="9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4" x14ac:dyDescent="0.3">
      <c r="A338" s="6" t="s">
        <v>704</v>
      </c>
      <c r="B338" s="6" t="s">
        <v>29</v>
      </c>
      <c r="C338" s="7" t="s">
        <v>705</v>
      </c>
      <c r="D338" s="7" t="s">
        <v>22</v>
      </c>
      <c r="E338" s="8">
        <f ca="1">IFERROR(__xludf.DUMMYFUNCTION("GOOGLEFINANCE(C338,""Price"")"),344.45)</f>
        <v>344.45</v>
      </c>
      <c r="F338" s="9">
        <f ca="1">IFERROR(__xludf.DUMMYFUNCTION("GOOGLEFINANCE(C338,""change"")"),-4.85)</f>
        <v>-4.8499999999999996</v>
      </c>
      <c r="G338" s="10">
        <f ca="1">IFERROR(__xludf.DUMMYFUNCTION("GOOGLEFINANCE(C338,""Changepct"")/100"),-0.0139)</f>
        <v>-1.3899999999999999E-2</v>
      </c>
      <c r="H338" s="11">
        <f ca="1">IFERROR(__xludf.DUMMYFUNCTION("GOOGLEFINANCE(C338,""Marketcap"")"),211992552139)</f>
        <v>211992552139</v>
      </c>
      <c r="I338" s="9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4" x14ac:dyDescent="0.3">
      <c r="A339" s="6" t="s">
        <v>706</v>
      </c>
      <c r="B339" s="6" t="s">
        <v>100</v>
      </c>
      <c r="C339" s="7" t="s">
        <v>707</v>
      </c>
      <c r="D339" s="7" t="s">
        <v>13</v>
      </c>
      <c r="E339" s="8">
        <f ca="1">IFERROR(__xludf.DUMMYFUNCTION("GOOGLEFINANCE(C339,""Price"")"),555.6)</f>
        <v>555.6</v>
      </c>
      <c r="F339" s="9">
        <f ca="1">IFERROR(__xludf.DUMMYFUNCTION("GOOGLEFINANCE(C339,""change"")"),12.85)</f>
        <v>12.85</v>
      </c>
      <c r="G339" s="10">
        <f ca="1">IFERROR(__xludf.DUMMYFUNCTION("GOOGLEFINANCE(C339,""Changepct"")/100"),0.0237)</f>
        <v>2.3699999999999999E-2</v>
      </c>
      <c r="H339" s="11">
        <f ca="1">IFERROR(__xludf.DUMMYFUNCTION("GOOGLEFINANCE(C339,""Marketcap"")"),200819366400)</f>
        <v>200819366400</v>
      </c>
      <c r="I339" s="9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4" x14ac:dyDescent="0.3">
      <c r="A340" s="6" t="s">
        <v>708</v>
      </c>
      <c r="B340" s="6" t="s">
        <v>50</v>
      </c>
      <c r="C340" s="7" t="s">
        <v>709</v>
      </c>
      <c r="D340" s="7" t="s">
        <v>22</v>
      </c>
      <c r="E340" s="8">
        <f ca="1">IFERROR(__xludf.DUMMYFUNCTION("GOOGLEFINANCE(C340,""Price"")"),115.15)</f>
        <v>115.15</v>
      </c>
      <c r="F340" s="9">
        <f ca="1">IFERROR(__xludf.DUMMYFUNCTION("GOOGLEFINANCE(C340,""change"")"),-2.95)</f>
        <v>-2.95</v>
      </c>
      <c r="G340" s="10">
        <f ca="1">IFERROR(__xludf.DUMMYFUNCTION("GOOGLEFINANCE(C340,""Changepct"")/100"),-0.025)</f>
        <v>-2.5000000000000001E-2</v>
      </c>
      <c r="H340" s="11">
        <f ca="1">IFERROR(__xludf.DUMMYFUNCTION("GOOGLEFINANCE(C340,""Marketcap"")"),1447973318408)</f>
        <v>1447973318408</v>
      </c>
      <c r="I340" s="9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4" x14ac:dyDescent="0.3">
      <c r="A341" s="6" t="s">
        <v>710</v>
      </c>
      <c r="B341" s="6" t="s">
        <v>50</v>
      </c>
      <c r="C341" s="7" t="s">
        <v>711</v>
      </c>
      <c r="D341" s="7" t="s">
        <v>13</v>
      </c>
      <c r="E341" s="8">
        <f ca="1">IFERROR(__xludf.DUMMYFUNCTION("GOOGLEFINANCE(C341,""Price"")"),130.5)</f>
        <v>130.5</v>
      </c>
      <c r="F341" s="9">
        <f ca="1">IFERROR(__xludf.DUMMYFUNCTION("GOOGLEFINANCE(C341,""change"")"),1.05)</f>
        <v>1.05</v>
      </c>
      <c r="G341" s="10">
        <f ca="1">IFERROR(__xludf.DUMMYFUNCTION("GOOGLEFINANCE(C341,""Changepct"")/100"),0.0081)</f>
        <v>8.0999999999999996E-3</v>
      </c>
      <c r="H341" s="11">
        <f ca="1">IFERROR(__xludf.DUMMYFUNCTION("GOOGLEFINANCE(C341,""Marketcap"")"),141081097118)</f>
        <v>141081097118</v>
      </c>
      <c r="I341" s="9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4" x14ac:dyDescent="0.3">
      <c r="A342" s="6" t="s">
        <v>712</v>
      </c>
      <c r="B342" s="6" t="s">
        <v>64</v>
      </c>
      <c r="C342" s="7" t="s">
        <v>713</v>
      </c>
      <c r="D342" s="7" t="s">
        <v>13</v>
      </c>
      <c r="E342" s="8">
        <f ca="1">IFERROR(__xludf.DUMMYFUNCTION("GOOGLEFINANCE(C342,""Price"")"),3702)</f>
        <v>3702</v>
      </c>
      <c r="F342" s="9">
        <f ca="1">IFERROR(__xludf.DUMMYFUNCTION("GOOGLEFINANCE(C342,""change"")"),-57.65)</f>
        <v>-57.65</v>
      </c>
      <c r="G342" s="10">
        <f ca="1">IFERROR(__xludf.DUMMYFUNCTION("GOOGLEFINANCE(C342,""Changepct"")/100"),-0.0153)</f>
        <v>-1.5299999999999999E-2</v>
      </c>
      <c r="H342" s="11">
        <f ca="1">IFERROR(__xludf.DUMMYFUNCTION("GOOGLEFINANCE(C342,""Marketcap"")"),318609779460)</f>
        <v>318609779460</v>
      </c>
      <c r="I342" s="9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4" x14ac:dyDescent="0.3">
      <c r="A343" s="6" t="s">
        <v>714</v>
      </c>
      <c r="B343" s="6" t="s">
        <v>11</v>
      </c>
      <c r="C343" s="7" t="s">
        <v>715</v>
      </c>
      <c r="D343" s="7" t="s">
        <v>13</v>
      </c>
      <c r="E343" s="8">
        <f ca="1">IFERROR(__xludf.DUMMYFUNCTION("GOOGLEFINANCE(C343,""Price"")"),282.5)</f>
        <v>282.5</v>
      </c>
      <c r="F343" s="9">
        <f ca="1">IFERROR(__xludf.DUMMYFUNCTION("GOOGLEFINANCE(C343,""change"")"),-6.35)</f>
        <v>-6.35</v>
      </c>
      <c r="G343" s="10">
        <f ca="1">IFERROR(__xludf.DUMMYFUNCTION("GOOGLEFINANCE(C343,""Changepct"")/100"),-0.022)</f>
        <v>-2.1999999999999999E-2</v>
      </c>
      <c r="H343" s="11">
        <f ca="1">IFERROR(__xludf.DUMMYFUNCTION("GOOGLEFINANCE(C343,""Marketcap"")"),59942375500)</f>
        <v>59942375500</v>
      </c>
      <c r="I343" s="9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4" x14ac:dyDescent="0.3">
      <c r="A344" s="6" t="s">
        <v>716</v>
      </c>
      <c r="B344" s="6" t="s">
        <v>15</v>
      </c>
      <c r="C344" s="7" t="s">
        <v>717</v>
      </c>
      <c r="D344" s="7" t="s">
        <v>13</v>
      </c>
      <c r="E344" s="8">
        <f ca="1">IFERROR(__xludf.DUMMYFUNCTION("GOOGLEFINANCE(C344,""Price"")"),310.8)</f>
        <v>310.8</v>
      </c>
      <c r="F344" s="9">
        <f ca="1">IFERROR(__xludf.DUMMYFUNCTION("GOOGLEFINANCE(C344,""change"")"),-6.3)</f>
        <v>-6.3</v>
      </c>
      <c r="G344" s="10">
        <f ca="1">IFERROR(__xludf.DUMMYFUNCTION("GOOGLEFINANCE(C344,""Changepct"")/100"),-0.0199)</f>
        <v>-1.9900000000000001E-2</v>
      </c>
      <c r="H344" s="11">
        <f ca="1">IFERROR(__xludf.DUMMYFUNCTION("GOOGLEFINANCE(C344,""Marketcap"")"),37105298101)</f>
        <v>37105298101</v>
      </c>
      <c r="I344" s="9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4" x14ac:dyDescent="0.3">
      <c r="A345" s="6" t="s">
        <v>718</v>
      </c>
      <c r="B345" s="6" t="s">
        <v>157</v>
      </c>
      <c r="C345" s="7" t="s">
        <v>719</v>
      </c>
      <c r="D345" s="7" t="s">
        <v>22</v>
      </c>
      <c r="E345" s="8">
        <f ca="1">IFERROR(__xludf.DUMMYFUNCTION("GOOGLEFINANCE(C345,""Price"")"),2667)</f>
        <v>2667</v>
      </c>
      <c r="F345" s="9">
        <f ca="1">IFERROR(__xludf.DUMMYFUNCTION("GOOGLEFINANCE(C345,""change"")"),-31.65)</f>
        <v>-31.65</v>
      </c>
      <c r="G345" s="10">
        <f ca="1">IFERROR(__xludf.DUMMYFUNCTION("GOOGLEFINANCE(C345,""Changepct"")/100"),-0.0116999999999999)</f>
        <v>-1.16999999999999E-2</v>
      </c>
      <c r="H345" s="11">
        <f ca="1">IFERROR(__xludf.DUMMYFUNCTION("GOOGLEFINANCE(C345,""Marketcap"")"),406604872728)</f>
        <v>406604872728</v>
      </c>
      <c r="I345" s="9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4" x14ac:dyDescent="0.3">
      <c r="A346" s="6" t="s">
        <v>720</v>
      </c>
      <c r="B346" s="6" t="s">
        <v>29</v>
      </c>
      <c r="C346" s="7" t="s">
        <v>721</v>
      </c>
      <c r="D346" s="7" t="s">
        <v>13</v>
      </c>
      <c r="E346" s="8">
        <f ca="1">IFERROR(__xludf.DUMMYFUNCTION("GOOGLEFINANCE(C346,""Price"")"),390)</f>
        <v>390</v>
      </c>
      <c r="F346" s="9">
        <f ca="1">IFERROR(__xludf.DUMMYFUNCTION("GOOGLEFINANCE(C346,""change"")"),17.95)</f>
        <v>17.95</v>
      </c>
      <c r="G346" s="10">
        <f ca="1">IFERROR(__xludf.DUMMYFUNCTION("GOOGLEFINANCE(C346,""Changepct"")/100"),0.0482)</f>
        <v>4.82E-2</v>
      </c>
      <c r="H346" s="11">
        <f ca="1">IFERROR(__xludf.DUMMYFUNCTION("GOOGLEFINANCE(C346,""Marketcap"")"),65624559000)</f>
        <v>65624559000</v>
      </c>
      <c r="I346" s="9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4" x14ac:dyDescent="0.3">
      <c r="A347" s="6" t="s">
        <v>722</v>
      </c>
      <c r="B347" s="6" t="s">
        <v>100</v>
      </c>
      <c r="C347" s="7" t="s">
        <v>723</v>
      </c>
      <c r="D347" s="7" t="s">
        <v>13</v>
      </c>
      <c r="E347" s="8">
        <f ca="1">IFERROR(__xludf.DUMMYFUNCTION("GOOGLEFINANCE(C347,""Price"")"),229.2)</f>
        <v>229.2</v>
      </c>
      <c r="F347" s="9">
        <f ca="1">IFERROR(__xludf.DUMMYFUNCTION("GOOGLEFINANCE(C347,""change"")"),6.2)</f>
        <v>6.2</v>
      </c>
      <c r="G347" s="10">
        <f ca="1">IFERROR(__xludf.DUMMYFUNCTION("GOOGLEFINANCE(C347,""Changepct"")/100"),0.0278)</f>
        <v>2.7799999999999998E-2</v>
      </c>
      <c r="H347" s="11">
        <f ca="1">IFERROR(__xludf.DUMMYFUNCTION("GOOGLEFINANCE(C347,""Marketcap"")"),58837244150)</f>
        <v>58837244150</v>
      </c>
      <c r="I347" s="9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4" x14ac:dyDescent="0.3">
      <c r="A348" s="6" t="s">
        <v>724</v>
      </c>
      <c r="B348" s="6" t="s">
        <v>288</v>
      </c>
      <c r="C348" s="7" t="s">
        <v>725</v>
      </c>
      <c r="D348" s="7" t="s">
        <v>22</v>
      </c>
      <c r="E348" s="8">
        <f ca="1">IFERROR(__xludf.DUMMYFUNCTION("GOOGLEFINANCE(C348,""Price"")"),1182.1)</f>
        <v>1182.0999999999999</v>
      </c>
      <c r="F348" s="9">
        <f ca="1">IFERROR(__xludf.DUMMYFUNCTION("GOOGLEFINANCE(C348,""change"")"),18.55)</f>
        <v>18.55</v>
      </c>
      <c r="G348" s="10">
        <f ca="1">IFERROR(__xludf.DUMMYFUNCTION("GOOGLEFINANCE(C348,""Changepct"")/100"),0.0159)</f>
        <v>1.5900000000000001E-2</v>
      </c>
      <c r="H348" s="11">
        <f ca="1">IFERROR(__xludf.DUMMYFUNCTION("GOOGLEFINANCE(C348,""Marketcap"")"),71832547023)</f>
        <v>71832547023</v>
      </c>
      <c r="I348" s="9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4" x14ac:dyDescent="0.3">
      <c r="A349" s="6" t="s">
        <v>726</v>
      </c>
      <c r="B349" s="6" t="s">
        <v>79</v>
      </c>
      <c r="C349" s="7" t="s">
        <v>727</v>
      </c>
      <c r="D349" s="7" t="s">
        <v>22</v>
      </c>
      <c r="E349" s="8">
        <f ca="1">IFERROR(__xludf.DUMMYFUNCTION("GOOGLEFINANCE(C349,""Price"")"),28285.6)</f>
        <v>28285.599999999999</v>
      </c>
      <c r="F349" s="9">
        <f ca="1">IFERROR(__xludf.DUMMYFUNCTION("GOOGLEFINANCE(C349,""change"")"),-604.15)</f>
        <v>-604.15</v>
      </c>
      <c r="G349" s="10">
        <f ca="1">IFERROR(__xludf.DUMMYFUNCTION("GOOGLEFINANCE(C349,""Changepct"")/100"),-0.0209)</f>
        <v>-2.0899999999999998E-2</v>
      </c>
      <c r="H349" s="11">
        <f ca="1">IFERROR(__xludf.DUMMYFUNCTION("GOOGLEFINANCE(C349,""Marketcap"")"),315493900915)</f>
        <v>315493900915</v>
      </c>
      <c r="I349" s="9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4" x14ac:dyDescent="0.3">
      <c r="A350" s="6" t="s">
        <v>728</v>
      </c>
      <c r="B350" s="6" t="s">
        <v>64</v>
      </c>
      <c r="C350" s="7" t="s">
        <v>729</v>
      </c>
      <c r="D350" s="7" t="s">
        <v>13</v>
      </c>
      <c r="E350" s="8">
        <f ca="1">IFERROR(__xludf.DUMMYFUNCTION("GOOGLEFINANCE(C350,""Price"")"),2212.25)</f>
        <v>2212.25</v>
      </c>
      <c r="F350" s="9">
        <f ca="1">IFERROR(__xludf.DUMMYFUNCTION("GOOGLEFINANCE(C350,""change"")"),-96.5)</f>
        <v>-96.5</v>
      </c>
      <c r="G350" s="10">
        <f ca="1">IFERROR(__xludf.DUMMYFUNCTION("GOOGLEFINANCE(C350,""Changepct"")/100"),-0.0418)</f>
        <v>-4.1799999999999997E-2</v>
      </c>
      <c r="H350" s="11">
        <f ca="1">IFERROR(__xludf.DUMMYFUNCTION("GOOGLEFINANCE(C350,""Marketcap"")"),165341918978)</f>
        <v>165341918978</v>
      </c>
      <c r="I350" s="9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4" x14ac:dyDescent="0.3">
      <c r="A351" s="6" t="s">
        <v>730</v>
      </c>
      <c r="B351" s="6" t="s">
        <v>50</v>
      </c>
      <c r="C351" s="7" t="s">
        <v>731</v>
      </c>
      <c r="D351" s="7" t="s">
        <v>22</v>
      </c>
      <c r="E351" s="8">
        <f ca="1">IFERROR(__xludf.DUMMYFUNCTION("GOOGLEFINANCE(C351,""Price"")"),248)</f>
        <v>248</v>
      </c>
      <c r="F351" s="9">
        <f ca="1">IFERROR(__xludf.DUMMYFUNCTION("GOOGLEFINANCE(C351,""change"")"),2.15)</f>
        <v>2.15</v>
      </c>
      <c r="G351" s="10">
        <f ca="1">IFERROR(__xludf.DUMMYFUNCTION("GOOGLEFINANCE(C351,""Changepct"")/100"),0.0087)</f>
        <v>8.6999999999999994E-3</v>
      </c>
      <c r="H351" s="11">
        <f ca="1">IFERROR(__xludf.DUMMYFUNCTION("GOOGLEFINANCE(C351,""Marketcap"")"),372000000000)</f>
        <v>372000000000</v>
      </c>
      <c r="I351" s="9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4" x14ac:dyDescent="0.3">
      <c r="A352" s="6" t="s">
        <v>732</v>
      </c>
      <c r="B352" s="6" t="s">
        <v>32</v>
      </c>
      <c r="C352" s="7" t="s">
        <v>733</v>
      </c>
      <c r="D352" s="7" t="s">
        <v>22</v>
      </c>
      <c r="E352" s="8">
        <f ca="1">IFERROR(__xludf.DUMMYFUNCTION("GOOGLEFINANCE(C352,""Price"")"),5331.55)</f>
        <v>5331.55</v>
      </c>
      <c r="F352" s="9">
        <f ca="1">IFERROR(__xludf.DUMMYFUNCTION("GOOGLEFINANCE(C352,""change"")"),-72.35)</f>
        <v>-72.349999999999994</v>
      </c>
      <c r="G352" s="10">
        <f ca="1">IFERROR(__xludf.DUMMYFUNCTION("GOOGLEFINANCE(C352,""Changepct"")/100"),-0.0134)</f>
        <v>-1.34E-2</v>
      </c>
      <c r="H352" s="11">
        <f ca="1">IFERROR(__xludf.DUMMYFUNCTION("GOOGLEFINANCE(C352,""Marketcap"")"),244749331069)</f>
        <v>244749331069</v>
      </c>
      <c r="I352" s="9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4" x14ac:dyDescent="0.3">
      <c r="A353" s="6" t="s">
        <v>734</v>
      </c>
      <c r="B353" s="6" t="s">
        <v>35</v>
      </c>
      <c r="C353" s="7" t="s">
        <v>735</v>
      </c>
      <c r="D353" s="7" t="s">
        <v>13</v>
      </c>
      <c r="E353" s="8">
        <f ca="1">IFERROR(__xludf.DUMMYFUNCTION("GOOGLEFINANCE(C353,""Price"")"),201.5)</f>
        <v>201.5</v>
      </c>
      <c r="F353" s="9">
        <f ca="1">IFERROR(__xludf.DUMMYFUNCTION("GOOGLEFINANCE(C353,""change"")"),-3.65)</f>
        <v>-3.65</v>
      </c>
      <c r="G353" s="10">
        <f ca="1">IFERROR(__xludf.DUMMYFUNCTION("GOOGLEFINANCE(C353,""Changepct"")/100"),-0.0178)</f>
        <v>-1.78E-2</v>
      </c>
      <c r="H353" s="11">
        <f ca="1">IFERROR(__xludf.DUMMYFUNCTION("GOOGLEFINANCE(C353,""Marketcap"")"),34501403721)</f>
        <v>34501403721</v>
      </c>
      <c r="I353" s="9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4" x14ac:dyDescent="0.3">
      <c r="A354" s="6" t="s">
        <v>736</v>
      </c>
      <c r="B354" s="6" t="s">
        <v>100</v>
      </c>
      <c r="C354" s="7" t="s">
        <v>737</v>
      </c>
      <c r="D354" s="7" t="s">
        <v>13</v>
      </c>
      <c r="E354" s="8">
        <f ca="1">IFERROR(__xludf.DUMMYFUNCTION("GOOGLEFINANCE(C354,""Price"")"),752)</f>
        <v>752</v>
      </c>
      <c r="F354" s="9">
        <f ca="1">IFERROR(__xludf.DUMMYFUNCTION("GOOGLEFINANCE(C354,""change"")"),1.35)</f>
        <v>1.35</v>
      </c>
      <c r="G354" s="10">
        <f ca="1">IFERROR(__xludf.DUMMYFUNCTION("GOOGLEFINANCE(C354,""Changepct"")/100"),0.0018)</f>
        <v>1.8E-3</v>
      </c>
      <c r="H354" s="11">
        <f ca="1">IFERROR(__xludf.DUMMYFUNCTION("GOOGLEFINANCE(C354,""Marketcap"")"),129259099200)</f>
        <v>129259099200</v>
      </c>
      <c r="I354" s="9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4" x14ac:dyDescent="0.3">
      <c r="A355" s="6" t="s">
        <v>738</v>
      </c>
      <c r="B355" s="6" t="s">
        <v>35</v>
      </c>
      <c r="C355" s="7" t="s">
        <v>739</v>
      </c>
      <c r="D355" s="7" t="s">
        <v>22</v>
      </c>
      <c r="E355" s="8">
        <f ca="1">IFERROR(__xludf.DUMMYFUNCTION("GOOGLEFINANCE(C355,""Price"")"),1870.85)</f>
        <v>1870.85</v>
      </c>
      <c r="F355" s="9">
        <f ca="1">IFERROR(__xludf.DUMMYFUNCTION("GOOGLEFINANCE(C355,""change"")"),-6.35)</f>
        <v>-6.35</v>
      </c>
      <c r="G355" s="10">
        <f ca="1">IFERROR(__xludf.DUMMYFUNCTION("GOOGLEFINANCE(C355,""Changepct"")/100"),-0.0034)</f>
        <v>-3.3999999999999998E-3</v>
      </c>
      <c r="H355" s="11">
        <f ca="1">IFERROR(__xludf.DUMMYFUNCTION("GOOGLEFINANCE(C355,""Marketcap"")"),952099948800)</f>
        <v>952099948800</v>
      </c>
      <c r="I355" s="9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4" x14ac:dyDescent="0.3">
      <c r="A356" s="6" t="s">
        <v>740</v>
      </c>
      <c r="B356" s="6" t="s">
        <v>29</v>
      </c>
      <c r="C356" s="7" t="s">
        <v>741</v>
      </c>
      <c r="D356" s="7" t="s">
        <v>22</v>
      </c>
      <c r="E356" s="8">
        <f ca="1">IFERROR(__xludf.DUMMYFUNCTION("GOOGLEFINANCE(C356,""Price"")"),1698)</f>
        <v>1698</v>
      </c>
      <c r="F356" s="9">
        <f ca="1">IFERROR(__xludf.DUMMYFUNCTION("GOOGLEFINANCE(C356,""change"")"),5.1)</f>
        <v>5.0999999999999996</v>
      </c>
      <c r="G356" s="10">
        <f ca="1">IFERROR(__xludf.DUMMYFUNCTION("GOOGLEFINANCE(C356,""Changepct"")/100"),0.003)</f>
        <v>3.0000000000000001E-3</v>
      </c>
      <c r="H356" s="11">
        <f ca="1">IFERROR(__xludf.DUMMYFUNCTION("GOOGLEFINANCE(C356,""Marketcap"")"),380309565711)</f>
        <v>380309565711</v>
      </c>
      <c r="I356" s="9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4" x14ac:dyDescent="0.3">
      <c r="A357" s="6" t="s">
        <v>742</v>
      </c>
      <c r="B357" s="6" t="s">
        <v>91</v>
      </c>
      <c r="C357" s="7" t="s">
        <v>743</v>
      </c>
      <c r="D357" s="7" t="s">
        <v>13</v>
      </c>
      <c r="E357" s="8">
        <f ca="1">IFERROR(__xludf.DUMMYFUNCTION("GOOGLEFINANCE(C357,""Price"")"),1011)</f>
        <v>1011</v>
      </c>
      <c r="F357" s="9">
        <f ca="1">IFERROR(__xludf.DUMMYFUNCTION("GOOGLEFINANCE(C357,""change"")"),-1.9)</f>
        <v>-1.9</v>
      </c>
      <c r="G357" s="10">
        <f ca="1">IFERROR(__xludf.DUMMYFUNCTION("GOOGLEFINANCE(C357,""Changepct"")/100"),-0.0019)</f>
        <v>-1.9E-3</v>
      </c>
      <c r="H357" s="11">
        <f ca="1">IFERROR(__xludf.DUMMYFUNCTION("GOOGLEFINANCE(C357,""Marketcap"")"),96935256270)</f>
        <v>96935256270</v>
      </c>
      <c r="I357" s="9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4" x14ac:dyDescent="0.3">
      <c r="A358" s="6" t="s">
        <v>744</v>
      </c>
      <c r="B358" s="6" t="s">
        <v>15</v>
      </c>
      <c r="C358" s="7" t="s">
        <v>745</v>
      </c>
      <c r="D358" s="7" t="s">
        <v>13</v>
      </c>
      <c r="E358" s="8">
        <f ca="1">IFERROR(__xludf.DUMMYFUNCTION("GOOGLEFINANCE(C358,""Price"")"),1540)</f>
        <v>1540</v>
      </c>
      <c r="F358" s="9">
        <f ca="1">IFERROR(__xludf.DUMMYFUNCTION("GOOGLEFINANCE(C358,""change"")"),-9.95)</f>
        <v>-9.9499999999999993</v>
      </c>
      <c r="G358" s="10">
        <f ca="1">IFERROR(__xludf.DUMMYFUNCTION("GOOGLEFINANCE(C358,""Changepct"")/100"),-0.0064)</f>
        <v>-6.4000000000000003E-3</v>
      </c>
      <c r="H358" s="11">
        <f ca="1">IFERROR(__xludf.DUMMYFUNCTION("GOOGLEFINANCE(C358,""Marketcap"")"),229599370000)</f>
        <v>229599370000</v>
      </c>
      <c r="I358" s="9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4" x14ac:dyDescent="0.3">
      <c r="A359" s="6" t="s">
        <v>746</v>
      </c>
      <c r="B359" s="6" t="s">
        <v>15</v>
      </c>
      <c r="C359" s="7" t="s">
        <v>747</v>
      </c>
      <c r="D359" s="7" t="s">
        <v>13</v>
      </c>
      <c r="E359" s="8">
        <f ca="1">IFERROR(__xludf.DUMMYFUNCTION("GOOGLEFINANCE(C359,""Price"")"),1119)</f>
        <v>1119</v>
      </c>
      <c r="F359" s="9">
        <f ca="1">IFERROR(__xludf.DUMMYFUNCTION("GOOGLEFINANCE(C359,""change"")"),-22)</f>
        <v>-22</v>
      </c>
      <c r="G359" s="10">
        <f ca="1">IFERROR(__xludf.DUMMYFUNCTION("GOOGLEFINANCE(C359,""Changepct"")/100"),-0.0192999999999999)</f>
        <v>-1.9299999999999901E-2</v>
      </c>
      <c r="H359" s="11">
        <f ca="1">IFERROR(__xludf.DUMMYFUNCTION("GOOGLEFINANCE(C359,""Marketcap"")"),35128162740)</f>
        <v>35128162740</v>
      </c>
      <c r="I359" s="9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4" x14ac:dyDescent="0.3">
      <c r="A360" s="6" t="s">
        <v>748</v>
      </c>
      <c r="B360" s="6" t="s">
        <v>29</v>
      </c>
      <c r="C360" s="7" t="s">
        <v>749</v>
      </c>
      <c r="D360" s="7" t="s">
        <v>22</v>
      </c>
      <c r="E360" s="8">
        <f ca="1">IFERROR(__xludf.DUMMYFUNCTION("GOOGLEFINANCE(C360,""Price"")"),115.5)</f>
        <v>115.5</v>
      </c>
      <c r="F360" s="9">
        <f ca="1">IFERROR(__xludf.DUMMYFUNCTION("GOOGLEFINANCE(C360,""change"")"),-1.5)</f>
        <v>-1.5</v>
      </c>
      <c r="G360" s="10">
        <f ca="1">IFERROR(__xludf.DUMMYFUNCTION("GOOGLEFINANCE(C360,""Changepct"")/100"),-0.0128)</f>
        <v>-1.2800000000000001E-2</v>
      </c>
      <c r="H360" s="11">
        <f ca="1">IFERROR(__xludf.DUMMYFUNCTION("GOOGLEFINANCE(C360,""Marketcap"")"),304533339321)</f>
        <v>304533339321</v>
      </c>
      <c r="I360" s="9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4" x14ac:dyDescent="0.3">
      <c r="A361" s="6" t="s">
        <v>750</v>
      </c>
      <c r="B361" s="6" t="s">
        <v>44</v>
      </c>
      <c r="C361" s="7" t="s">
        <v>751</v>
      </c>
      <c r="D361" s="7" t="s">
        <v>22</v>
      </c>
      <c r="E361" s="8">
        <f ca="1">IFERROR(__xludf.DUMMYFUNCTION("GOOGLEFINANCE(C361,""Price"")"),226)</f>
        <v>226</v>
      </c>
      <c r="F361" s="9">
        <f ca="1">IFERROR(__xludf.DUMMYFUNCTION("GOOGLEFINANCE(C361,""change"")"),2.6)</f>
        <v>2.6</v>
      </c>
      <c r="G361" s="10">
        <f ca="1">IFERROR(__xludf.DUMMYFUNCTION("GOOGLEFINANCE(C361,""Changepct"")/100"),0.0116)</f>
        <v>1.1599999999999999E-2</v>
      </c>
      <c r="H361" s="11">
        <f ca="1">IFERROR(__xludf.DUMMYFUNCTION("GOOGLEFINANCE(C361,""Marketcap"")"),1181028400361)</f>
        <v>1181028400361</v>
      </c>
      <c r="I361" s="9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4" x14ac:dyDescent="0.3">
      <c r="A362" s="6" t="s">
        <v>752</v>
      </c>
      <c r="B362" s="6" t="s">
        <v>100</v>
      </c>
      <c r="C362" s="7" t="s">
        <v>753</v>
      </c>
      <c r="D362" s="7" t="s">
        <v>13</v>
      </c>
      <c r="E362" s="8">
        <f ca="1">IFERROR(__xludf.DUMMYFUNCTION("GOOGLEFINANCE(C362,""Price"")"),269.5)</f>
        <v>269.5</v>
      </c>
      <c r="F362" s="9">
        <f ca="1">IFERROR(__xludf.DUMMYFUNCTION("GOOGLEFINANCE(C362,""change"")"),-1.05)</f>
        <v>-1.05</v>
      </c>
      <c r="G362" s="10">
        <f ca="1">IFERROR(__xludf.DUMMYFUNCTION("GOOGLEFINANCE(C362,""Changepct"")/100"),-0.0039)</f>
        <v>-3.8999999999999998E-3</v>
      </c>
      <c r="H362" s="11">
        <f ca="1">IFERROR(__xludf.DUMMYFUNCTION("GOOGLEFINANCE(C362,""Marketcap"")"),108032174250)</f>
        <v>108032174250</v>
      </c>
      <c r="I362" s="9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4" x14ac:dyDescent="0.3">
      <c r="A363" s="6" t="s">
        <v>754</v>
      </c>
      <c r="B363" s="6" t="s">
        <v>15</v>
      </c>
      <c r="C363" s="7" t="s">
        <v>755</v>
      </c>
      <c r="D363" s="7" t="s">
        <v>13</v>
      </c>
      <c r="E363" s="8">
        <f ca="1">IFERROR(__xludf.DUMMYFUNCTION("GOOGLEFINANCE(C363,""Price"")"),569.9)</f>
        <v>569.9</v>
      </c>
      <c r="F363" s="9">
        <f ca="1">IFERROR(__xludf.DUMMYFUNCTION("GOOGLEFINANCE(C363,""change"")"),-15.75)</f>
        <v>-15.75</v>
      </c>
      <c r="G363" s="10">
        <f ca="1">IFERROR(__xludf.DUMMYFUNCTION("GOOGLEFINANCE(C363,""Changepct"")/100"),-0.0269)</f>
        <v>-2.69E-2</v>
      </c>
      <c r="H363" s="11">
        <f ca="1">IFERROR(__xludf.DUMMYFUNCTION("GOOGLEFINANCE(C363,""Marketcap"")"),62958612091)</f>
        <v>62958612091</v>
      </c>
      <c r="I363" s="9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4" x14ac:dyDescent="0.3">
      <c r="A364" s="6" t="s">
        <v>756</v>
      </c>
      <c r="B364" s="6" t="s">
        <v>20</v>
      </c>
      <c r="C364" s="7" t="s">
        <v>757</v>
      </c>
      <c r="D364" s="7" t="s">
        <v>13</v>
      </c>
      <c r="E364" s="8">
        <f ca="1">IFERROR(__xludf.DUMMYFUNCTION("GOOGLEFINANCE(C364,""Price"")"),138.9)</f>
        <v>138.9</v>
      </c>
      <c r="F364" s="9">
        <f ca="1">IFERROR(__xludf.DUMMYFUNCTION("GOOGLEFINANCE(C364,""change"")"),9)</f>
        <v>9</v>
      </c>
      <c r="G364" s="10">
        <f ca="1">IFERROR(__xludf.DUMMYFUNCTION("GOOGLEFINANCE(C364,""Changepct"")/100"),0.0693)</f>
        <v>6.93E-2</v>
      </c>
      <c r="H364" s="11">
        <f ca="1">IFERROR(__xludf.DUMMYFUNCTION("GOOGLEFINANCE(C364,""Marketcap"")"),69513535722)</f>
        <v>69513535722</v>
      </c>
      <c r="I364" s="9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4" x14ac:dyDescent="0.3">
      <c r="A365" s="6" t="s">
        <v>758</v>
      </c>
      <c r="B365" s="6" t="s">
        <v>32</v>
      </c>
      <c r="C365" s="7" t="s">
        <v>759</v>
      </c>
      <c r="D365" s="7" t="s">
        <v>13</v>
      </c>
      <c r="E365" s="8">
        <f ca="1">IFERROR(__xludf.DUMMYFUNCTION("GOOGLEFINANCE(C365,""Price"")"),5781)</f>
        <v>5781</v>
      </c>
      <c r="F365" s="9">
        <f ca="1">IFERROR(__xludf.DUMMYFUNCTION("GOOGLEFINANCE(C365,""change"")"),-21.7)</f>
        <v>-21.7</v>
      </c>
      <c r="G365" s="10">
        <f ca="1">IFERROR(__xludf.DUMMYFUNCTION("GOOGLEFINANCE(C365,""Changepct"")/100"),-0.0037)</f>
        <v>-3.7000000000000002E-3</v>
      </c>
      <c r="H365" s="11">
        <f ca="1">IFERROR(__xludf.DUMMYFUNCTION("GOOGLEFINANCE(C365,""Marketcap"")"),96321230000)</f>
        <v>96321230000</v>
      </c>
      <c r="I365" s="9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4" x14ac:dyDescent="0.3">
      <c r="A366" s="6" t="s">
        <v>760</v>
      </c>
      <c r="B366" s="6" t="s">
        <v>11</v>
      </c>
      <c r="C366" s="7" t="s">
        <v>761</v>
      </c>
      <c r="D366" s="7" t="s">
        <v>13</v>
      </c>
      <c r="E366" s="8">
        <f ca="1">IFERROR(__xludf.DUMMYFUNCTION("GOOGLEFINANCE(C366,""Price"")"),13601.05)</f>
        <v>13601.05</v>
      </c>
      <c r="F366" s="9">
        <f ca="1">IFERROR(__xludf.DUMMYFUNCTION("GOOGLEFINANCE(C366,""change"")"),-90.1)</f>
        <v>-90.1</v>
      </c>
      <c r="G366" s="10">
        <f ca="1">IFERROR(__xludf.DUMMYFUNCTION("GOOGLEFINANCE(C366,""Changepct"")/100"),-0.0066)</f>
        <v>-6.6E-3</v>
      </c>
      <c r="H366" s="11">
        <f ca="1">IFERROR(__xludf.DUMMYFUNCTION("GOOGLEFINANCE(C366,""Marketcap"")"),441500005426)</f>
        <v>441500005426</v>
      </c>
      <c r="I366" s="9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4" x14ac:dyDescent="0.3">
      <c r="A367" s="6" t="s">
        <v>762</v>
      </c>
      <c r="B367" s="6" t="s">
        <v>29</v>
      </c>
      <c r="C367" s="7" t="s">
        <v>763</v>
      </c>
      <c r="D367" s="7" t="s">
        <v>22</v>
      </c>
      <c r="E367" s="8">
        <f ca="1">IFERROR(__xludf.DUMMYFUNCTION("GOOGLEFINANCE(C367,""Price"")"),37.1)</f>
        <v>37.1</v>
      </c>
      <c r="F367" s="9">
        <f ca="1">IFERROR(__xludf.DUMMYFUNCTION("GOOGLEFINANCE(C367,""change"")"),2.05)</f>
        <v>2.0499999999999998</v>
      </c>
      <c r="G367" s="10">
        <f ca="1">IFERROR(__xludf.DUMMYFUNCTION("GOOGLEFINANCE(C367,""Changepct"")/100"),0.0584999999999999)</f>
        <v>5.8499999999999899E-2</v>
      </c>
      <c r="H367" s="11">
        <f ca="1">IFERROR(__xludf.DUMMYFUNCTION("GOOGLEFINANCE(C367,""Marketcap"")"),388168009035)</f>
        <v>388168009035</v>
      </c>
      <c r="I367" s="9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4" x14ac:dyDescent="0.3">
      <c r="A368" s="6" t="s">
        <v>764</v>
      </c>
      <c r="B368" s="6" t="s">
        <v>47</v>
      </c>
      <c r="C368" s="7" t="s">
        <v>765</v>
      </c>
      <c r="D368" s="7" t="s">
        <v>13</v>
      </c>
      <c r="E368" s="8">
        <f ca="1">IFERROR(__xludf.DUMMYFUNCTION("GOOGLEFINANCE(C368,""Price"")"),640.4)</f>
        <v>640.4</v>
      </c>
      <c r="F368" s="9">
        <f ca="1">IFERROR(__xludf.DUMMYFUNCTION("GOOGLEFINANCE(C368,""change"")"),0.55)</f>
        <v>0.55000000000000004</v>
      </c>
      <c r="G368" s="10">
        <f ca="1">IFERROR(__xludf.DUMMYFUNCTION("GOOGLEFINANCE(C368,""Changepct"")/100"),0.0009)</f>
        <v>8.9999999999999998E-4</v>
      </c>
      <c r="H368" s="11">
        <f ca="1">IFERROR(__xludf.DUMMYFUNCTION("GOOGLEFINANCE(C368,""Marketcap"")"),94573507125)</f>
        <v>94573507125</v>
      </c>
      <c r="I368" s="9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4" x14ac:dyDescent="0.3">
      <c r="A369" s="6" t="s">
        <v>766</v>
      </c>
      <c r="B369" s="6" t="s">
        <v>29</v>
      </c>
      <c r="C369" s="7" t="s">
        <v>767</v>
      </c>
      <c r="D369" s="7" t="s">
        <v>22</v>
      </c>
      <c r="E369" s="8">
        <f ca="1">IFERROR(__xludf.DUMMYFUNCTION("GOOGLEFINANCE(C369,""Price"")"),187.8)</f>
        <v>187.8</v>
      </c>
      <c r="F369" s="9">
        <f ca="1">IFERROR(__xludf.DUMMYFUNCTION("GOOGLEFINANCE(C369,""change"")"),1.6)</f>
        <v>1.6</v>
      </c>
      <c r="G369" s="10">
        <f ca="1">IFERROR(__xludf.DUMMYFUNCTION("GOOGLEFINANCE(C369,""Changepct"")/100"),0.0086)</f>
        <v>8.6E-3</v>
      </c>
      <c r="H369" s="11">
        <f ca="1">IFERROR(__xludf.DUMMYFUNCTION("GOOGLEFINANCE(C369,""Marketcap"")"),111889757875)</f>
        <v>111889757875</v>
      </c>
      <c r="I369" s="9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4" x14ac:dyDescent="0.3">
      <c r="A370" s="6" t="s">
        <v>768</v>
      </c>
      <c r="B370" s="6" t="s">
        <v>29</v>
      </c>
      <c r="C370" s="7" t="s">
        <v>769</v>
      </c>
      <c r="D370" s="7" t="s">
        <v>22</v>
      </c>
      <c r="E370" s="8">
        <f ca="1">IFERROR(__xludf.DUMMYFUNCTION("GOOGLEFINANCE(C370,""Price"")"),140)</f>
        <v>140</v>
      </c>
      <c r="F370" s="9">
        <f ca="1">IFERROR(__xludf.DUMMYFUNCTION("GOOGLEFINANCE(C370,""change"")"),-1.4)</f>
        <v>-1.4</v>
      </c>
      <c r="G370" s="10">
        <f ca="1">IFERROR(__xludf.DUMMYFUNCTION("GOOGLEFINANCE(C370,""Changepct"")/100"),-0.00989999999999999)</f>
        <v>-9.8999999999999904E-3</v>
      </c>
      <c r="H370" s="11">
        <f ca="1">IFERROR(__xludf.DUMMYFUNCTION("GOOGLEFINANCE(C370,""Marketcap"")"),276488380000)</f>
        <v>276488380000</v>
      </c>
      <c r="I370" s="9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4" x14ac:dyDescent="0.3">
      <c r="A371" s="6" t="s">
        <v>770</v>
      </c>
      <c r="B371" s="6" t="s">
        <v>47</v>
      </c>
      <c r="C371" s="7" t="s">
        <v>771</v>
      </c>
      <c r="D371" s="7" t="s">
        <v>13</v>
      </c>
      <c r="E371" s="8">
        <f ca="1">IFERROR(__xludf.DUMMYFUNCTION("GOOGLEFINANCE(C371,""Price"")"),245.95)</f>
        <v>245.95</v>
      </c>
      <c r="F371" s="9">
        <f ca="1">IFERROR(__xludf.DUMMYFUNCTION("GOOGLEFINANCE(C371,""change"")"),4.7)</f>
        <v>4.7</v>
      </c>
      <c r="G371" s="10">
        <f ca="1">IFERROR(__xludf.DUMMYFUNCTION("GOOGLEFINANCE(C371,""Changepct"")/100"),0.0195)</f>
        <v>1.95E-2</v>
      </c>
      <c r="H371" s="11">
        <f ca="1">IFERROR(__xludf.DUMMYFUNCTION("GOOGLEFINANCE(C371,""Marketcap"")"),59101531715)</f>
        <v>59101531715</v>
      </c>
      <c r="I371" s="9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4" x14ac:dyDescent="0.3">
      <c r="A372" s="6" t="s">
        <v>772</v>
      </c>
      <c r="B372" s="6" t="s">
        <v>11</v>
      </c>
      <c r="C372" s="7" t="s">
        <v>773</v>
      </c>
      <c r="D372" s="7" t="s">
        <v>13</v>
      </c>
      <c r="E372" s="8">
        <f ca="1">IFERROR(__xludf.DUMMYFUNCTION("GOOGLEFINANCE(C372,""Price"")"),567.5)</f>
        <v>567.5</v>
      </c>
      <c r="F372" s="9">
        <f ca="1">IFERROR(__xludf.DUMMYFUNCTION("GOOGLEFINANCE(C372,""change"")"),-1.95)</f>
        <v>-1.95</v>
      </c>
      <c r="G372" s="10">
        <f ca="1">IFERROR(__xludf.DUMMYFUNCTION("GOOGLEFINANCE(C372,""Changepct"")/100"),-0.0034)</f>
        <v>-3.3999999999999998E-3</v>
      </c>
      <c r="H372" s="11">
        <f ca="1">IFERROR(__xludf.DUMMYFUNCTION("GOOGLEFINANCE(C372,""Marketcap"")"),75799953500)</f>
        <v>75799953500</v>
      </c>
      <c r="I372" s="9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4" x14ac:dyDescent="0.3">
      <c r="A373" s="6" t="s">
        <v>774</v>
      </c>
      <c r="B373" s="6" t="s">
        <v>100</v>
      </c>
      <c r="C373" s="7" t="s">
        <v>775</v>
      </c>
      <c r="D373" s="7" t="s">
        <v>13</v>
      </c>
      <c r="E373" s="8">
        <f ca="1">IFERROR(__xludf.DUMMYFUNCTION("GOOGLEFINANCE(C373,""Price"")"),29.6)</f>
        <v>29.6</v>
      </c>
      <c r="F373" s="9">
        <f ca="1">IFERROR(__xludf.DUMMYFUNCTION("GOOGLEFINANCE(C373,""change"")"),0.25)</f>
        <v>0.25</v>
      </c>
      <c r="G373" s="10">
        <f ca="1">IFERROR(__xludf.DUMMYFUNCTION("GOOGLEFINANCE(C373,""Changepct"")/100"),0.0085)</f>
        <v>8.5000000000000006E-3</v>
      </c>
      <c r="H373" s="11">
        <f ca="1">IFERROR(__xludf.DUMMYFUNCTION("GOOGLEFINANCE(C373,""Marketcap"")"),61821909596)</f>
        <v>61821909596</v>
      </c>
      <c r="I373" s="9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4" x14ac:dyDescent="0.3">
      <c r="A374" s="6" t="s">
        <v>776</v>
      </c>
      <c r="B374" s="6" t="s">
        <v>35</v>
      </c>
      <c r="C374" s="7" t="s">
        <v>777</v>
      </c>
      <c r="D374" s="7" t="s">
        <v>13</v>
      </c>
      <c r="E374" s="8">
        <f ca="1">IFERROR(__xludf.DUMMYFUNCTION("GOOGLEFINANCE(C374,""Price"")"),175.95)</f>
        <v>175.95</v>
      </c>
      <c r="F374" s="9">
        <f ca="1">IFERROR(__xludf.DUMMYFUNCTION("GOOGLEFINANCE(C374,""change"")"),-3.05)</f>
        <v>-3.05</v>
      </c>
      <c r="G374" s="10">
        <f ca="1">IFERROR(__xludf.DUMMYFUNCTION("GOOGLEFINANCE(C374,""Changepct"")/100"),-0.017)</f>
        <v>-1.7000000000000001E-2</v>
      </c>
      <c r="H374" s="11">
        <f ca="1">IFERROR(__xludf.DUMMYFUNCTION("GOOGLEFINANCE(C374,""Marketcap"")"),59095920893)</f>
        <v>59095920893</v>
      </c>
      <c r="I374" s="9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4" x14ac:dyDescent="0.3">
      <c r="A375" s="6" t="s">
        <v>778</v>
      </c>
      <c r="B375" s="6" t="s">
        <v>11</v>
      </c>
      <c r="C375" s="7" t="s">
        <v>779</v>
      </c>
      <c r="D375" s="7" t="s">
        <v>13</v>
      </c>
      <c r="E375" s="8">
        <f ca="1">IFERROR(__xludf.DUMMYFUNCTION("GOOGLEFINANCE(C375,""Price"")"),516)</f>
        <v>516</v>
      </c>
      <c r="F375" s="9">
        <f ca="1">IFERROR(__xludf.DUMMYFUNCTION("GOOGLEFINANCE(C375,""change"")"),1)</f>
        <v>1</v>
      </c>
      <c r="G375" s="10">
        <f ca="1">IFERROR(__xludf.DUMMYFUNCTION("GOOGLEFINANCE(C375,""Changepct"")/100"),0.0019)</f>
        <v>1.9E-3</v>
      </c>
      <c r="H375" s="11">
        <f ca="1">IFERROR(__xludf.DUMMYFUNCTION("GOOGLEFINANCE(C375,""Marketcap"")"),152354160000)</f>
        <v>152354160000</v>
      </c>
      <c r="I375" s="9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4" x14ac:dyDescent="0.3">
      <c r="A376" s="6" t="s">
        <v>780</v>
      </c>
      <c r="B376" s="6" t="s">
        <v>157</v>
      </c>
      <c r="C376" s="7" t="s">
        <v>781</v>
      </c>
      <c r="D376" s="7" t="s">
        <v>13</v>
      </c>
      <c r="E376" s="8">
        <f ca="1">IFERROR(__xludf.DUMMYFUNCTION("GOOGLEFINANCE(C376,""Price"")"),319)</f>
        <v>319</v>
      </c>
      <c r="F376" s="9">
        <f ca="1">IFERROR(__xludf.DUMMYFUNCTION("GOOGLEFINANCE(C376,""change"")"),5.9)</f>
        <v>5.9</v>
      </c>
      <c r="G376" s="10">
        <f ca="1">IFERROR(__xludf.DUMMYFUNCTION("GOOGLEFINANCE(C376,""Changepct"")/100"),0.0187999999999999)</f>
        <v>1.87999999999999E-2</v>
      </c>
      <c r="H376" s="11">
        <f ca="1">IFERROR(__xludf.DUMMYFUNCTION("GOOGLEFINANCE(C376,""Marketcap"")"),61655488394)</f>
        <v>61655488394</v>
      </c>
      <c r="I376" s="9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4" x14ac:dyDescent="0.3">
      <c r="A377" s="6" t="s">
        <v>782</v>
      </c>
      <c r="B377" s="6" t="s">
        <v>157</v>
      </c>
      <c r="C377" s="7" t="s">
        <v>783</v>
      </c>
      <c r="D377" s="7" t="s">
        <v>13</v>
      </c>
      <c r="E377" s="8">
        <f ca="1">IFERROR(__xludf.DUMMYFUNCTION("GOOGLEFINANCE(C377,""Price"")"),84.8)</f>
        <v>84.8</v>
      </c>
      <c r="F377" s="9">
        <f ca="1">IFERROR(__xludf.DUMMYFUNCTION("GOOGLEFINANCE(C377,""change"")"),3.05)</f>
        <v>3.05</v>
      </c>
      <c r="G377" s="10">
        <f ca="1">IFERROR(__xludf.DUMMYFUNCTION("GOOGLEFINANCE(C377,""Changepct"")/100"),0.0373)</f>
        <v>3.73E-2</v>
      </c>
      <c r="H377" s="11">
        <f ca="1">IFERROR(__xludf.DUMMYFUNCTION("GOOGLEFINANCE(C377,""Marketcap"")"),46590049916)</f>
        <v>46590049916</v>
      </c>
      <c r="I377" s="9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4" x14ac:dyDescent="0.3">
      <c r="A378" s="6" t="s">
        <v>784</v>
      </c>
      <c r="B378" s="6" t="s">
        <v>26</v>
      </c>
      <c r="C378" s="7" t="s">
        <v>785</v>
      </c>
      <c r="D378" s="7" t="s">
        <v>13</v>
      </c>
      <c r="E378" s="8">
        <f ca="1">IFERROR(__xludf.DUMMYFUNCTION("GOOGLEFINANCE(C378,""Price"")"),1850)</f>
        <v>1850</v>
      </c>
      <c r="F378" s="9">
        <f ca="1">IFERROR(__xludf.DUMMYFUNCTION("GOOGLEFINANCE(C378,""change"")"),-57.35)</f>
        <v>-57.35</v>
      </c>
      <c r="G378" s="10">
        <f ca="1">IFERROR(__xludf.DUMMYFUNCTION("GOOGLEFINANCE(C378,""Changepct"")/100"),-0.0301)</f>
        <v>-3.0099999999999998E-2</v>
      </c>
      <c r="H378" s="11">
        <f ca="1">IFERROR(__xludf.DUMMYFUNCTION("GOOGLEFINANCE(C378,""Marketcap"")"),86842965190)</f>
        <v>86842965190</v>
      </c>
      <c r="I378" s="9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4" x14ac:dyDescent="0.3">
      <c r="A379" s="6" t="s">
        <v>786</v>
      </c>
      <c r="B379" s="6" t="s">
        <v>79</v>
      </c>
      <c r="C379" s="7" t="s">
        <v>787</v>
      </c>
      <c r="D379" s="7" t="s">
        <v>13</v>
      </c>
      <c r="E379" s="8">
        <f ca="1">IFERROR(__xludf.DUMMYFUNCTION("GOOGLEFINANCE(C379,""Price"")"),346.7)</f>
        <v>346.7</v>
      </c>
      <c r="F379" s="9">
        <f ca="1">IFERROR(__xludf.DUMMYFUNCTION("GOOGLEFINANCE(C379,""change"")"),-4.45)</f>
        <v>-4.45</v>
      </c>
      <c r="G379" s="10">
        <f ca="1">IFERROR(__xludf.DUMMYFUNCTION("GOOGLEFINANCE(C379,""Changepct"")/100"),-0.0127)</f>
        <v>-1.2699999999999999E-2</v>
      </c>
      <c r="H379" s="11">
        <f ca="1">IFERROR(__xludf.DUMMYFUNCTION("GOOGLEFINANCE(C379,""Marketcap"")"),23084066294)</f>
        <v>23084066294</v>
      </c>
      <c r="I379" s="9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4" x14ac:dyDescent="0.3">
      <c r="A380" s="6" t="s">
        <v>788</v>
      </c>
      <c r="B380" s="6" t="s">
        <v>47</v>
      </c>
      <c r="C380" s="7" t="s">
        <v>789</v>
      </c>
      <c r="D380" s="7" t="s">
        <v>13</v>
      </c>
      <c r="E380" s="8">
        <f ca="1">IFERROR(__xludf.DUMMYFUNCTION("GOOGLEFINANCE(C380,""Price"")"),185)</f>
        <v>185</v>
      </c>
      <c r="F380" s="9">
        <f ca="1">IFERROR(__xludf.DUMMYFUNCTION("GOOGLEFINANCE(C380,""change"")"),-3.85)</f>
        <v>-3.85</v>
      </c>
      <c r="G380" s="10">
        <f ca="1">IFERROR(__xludf.DUMMYFUNCTION("GOOGLEFINANCE(C380,""Changepct"")/100"),-0.0204)</f>
        <v>-2.0400000000000001E-2</v>
      </c>
      <c r="H380" s="11">
        <f ca="1">IFERROR(__xludf.DUMMYFUNCTION("GOOGLEFINANCE(C380,""Marketcap"")"),72112137825)</f>
        <v>72112137825</v>
      </c>
      <c r="I380" s="9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4" x14ac:dyDescent="0.3">
      <c r="A381" s="6" t="s">
        <v>790</v>
      </c>
      <c r="B381" s="6" t="s">
        <v>11</v>
      </c>
      <c r="C381" s="7" t="s">
        <v>791</v>
      </c>
      <c r="D381" s="7" t="s">
        <v>13</v>
      </c>
      <c r="E381" s="8">
        <f ca="1">IFERROR(__xludf.DUMMYFUNCTION("GOOGLEFINANCE(C381,""Price"")"),898.15)</f>
        <v>898.15</v>
      </c>
      <c r="F381" s="9">
        <f ca="1">IFERROR(__xludf.DUMMYFUNCTION("GOOGLEFINANCE(C381,""change"")"),5.6)</f>
        <v>5.6</v>
      </c>
      <c r="G381" s="10">
        <f ca="1">IFERROR(__xludf.DUMMYFUNCTION("GOOGLEFINANCE(C381,""Changepct"")/100"),0.0063)</f>
        <v>6.3E-3</v>
      </c>
      <c r="H381" s="11">
        <f ca="1">IFERROR(__xludf.DUMMYFUNCTION("GOOGLEFINANCE(C381,""Marketcap"")"),223138278180)</f>
        <v>223138278180</v>
      </c>
      <c r="I381" s="9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4" x14ac:dyDescent="0.3">
      <c r="A382" s="6" t="s">
        <v>792</v>
      </c>
      <c r="B382" s="6" t="s">
        <v>50</v>
      </c>
      <c r="C382" s="7" t="s">
        <v>793</v>
      </c>
      <c r="D382" s="7" t="s">
        <v>22</v>
      </c>
      <c r="E382" s="8">
        <f ca="1">IFERROR(__xludf.DUMMYFUNCTION("GOOGLEFINANCE(C382,""Price"")"),1913.05)</f>
        <v>1913.05</v>
      </c>
      <c r="F382" s="9">
        <f ca="1">IFERROR(__xludf.DUMMYFUNCTION("GOOGLEFINANCE(C382,""change"")"),-20.1)</f>
        <v>-20.100000000000001</v>
      </c>
      <c r="G382" s="10">
        <f ca="1">IFERROR(__xludf.DUMMYFUNCTION("GOOGLEFINANCE(C382,""Changepct"")/100"),-0.0104)</f>
        <v>-1.04E-2</v>
      </c>
      <c r="H382" s="11">
        <f ca="1">IFERROR(__xludf.DUMMYFUNCTION("GOOGLEFINANCE(C382,""Marketcap"")"),12538111886835)</f>
        <v>12538111886835</v>
      </c>
      <c r="I382" s="9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4" x14ac:dyDescent="0.3">
      <c r="A383" s="6" t="s">
        <v>794</v>
      </c>
      <c r="B383" s="6" t="s">
        <v>11</v>
      </c>
      <c r="C383" s="7" t="s">
        <v>795</v>
      </c>
      <c r="D383" s="7" t="s">
        <v>13</v>
      </c>
      <c r="E383" s="8">
        <f ca="1">IFERROR(__xludf.DUMMYFUNCTION("GOOGLEFINANCE(C383,""Price"")"),156.25)</f>
        <v>156.25</v>
      </c>
      <c r="F383" s="9">
        <f ca="1">IFERROR(__xludf.DUMMYFUNCTION("GOOGLEFINANCE(C383,""change"")"),-1.35)</f>
        <v>-1.35</v>
      </c>
      <c r="G383" s="10">
        <f ca="1">IFERROR(__xludf.DUMMYFUNCTION("GOOGLEFINANCE(C383,""Changepct"")/100"),-0.0086)</f>
        <v>-8.6E-3</v>
      </c>
      <c r="H383" s="11">
        <f ca="1">IFERROR(__xludf.DUMMYFUNCTION("GOOGLEFINANCE(C383,""Marketcap"")"),41705093750)</f>
        <v>41705093750</v>
      </c>
      <c r="I383" s="9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4" x14ac:dyDescent="0.3">
      <c r="A384" s="6" t="s">
        <v>796</v>
      </c>
      <c r="B384" s="6" t="s">
        <v>35</v>
      </c>
      <c r="C384" s="7" t="s">
        <v>797</v>
      </c>
      <c r="D384" s="7" t="s">
        <v>13</v>
      </c>
      <c r="E384" s="8">
        <f ca="1">IFERROR(__xludf.DUMMYFUNCTION("GOOGLEFINANCE(C384,""Price"")"),1254)</f>
        <v>1254</v>
      </c>
      <c r="F384" s="9">
        <f ca="1">IFERROR(__xludf.DUMMYFUNCTION("GOOGLEFINANCE(C384,""change"")"),-59.45)</f>
        <v>-59.45</v>
      </c>
      <c r="G384" s="10">
        <f ca="1">IFERROR(__xludf.DUMMYFUNCTION("GOOGLEFINANCE(C384,""Changepct"")/100"),-0.0453)</f>
        <v>-4.53E-2</v>
      </c>
      <c r="H384" s="11">
        <f ca="1">IFERROR(__xludf.DUMMYFUNCTION("GOOGLEFINANCE(C384,""Marketcap"")"),68894029300)</f>
        <v>68894029300</v>
      </c>
      <c r="I384" s="9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4" x14ac:dyDescent="0.3">
      <c r="A385" s="6" t="s">
        <v>798</v>
      </c>
      <c r="B385" s="6" t="s">
        <v>64</v>
      </c>
      <c r="C385" s="7" t="s">
        <v>799</v>
      </c>
      <c r="D385" s="7" t="s">
        <v>13</v>
      </c>
      <c r="E385" s="8">
        <f ca="1">IFERROR(__xludf.DUMMYFUNCTION("GOOGLEFINANCE(C385,""Price"")"),1574)</f>
        <v>1574</v>
      </c>
      <c r="F385" s="9">
        <f ca="1">IFERROR(__xludf.DUMMYFUNCTION("GOOGLEFINANCE(C385,""change"")"),-6.4)</f>
        <v>-6.4</v>
      </c>
      <c r="G385" s="10">
        <f ca="1">IFERROR(__xludf.DUMMYFUNCTION("GOOGLEFINANCE(C385,""Changepct"")/100"),-0.004)</f>
        <v>-4.0000000000000001E-3</v>
      </c>
      <c r="H385" s="11">
        <f ca="1">IFERROR(__xludf.DUMMYFUNCTION("GOOGLEFINANCE(C385,""Marketcap"")"),90536274410)</f>
        <v>90536274410</v>
      </c>
      <c r="I385" s="9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4" x14ac:dyDescent="0.3">
      <c r="A386" s="6" t="s">
        <v>800</v>
      </c>
      <c r="B386" s="6" t="s">
        <v>29</v>
      </c>
      <c r="C386" s="7" t="s">
        <v>801</v>
      </c>
      <c r="D386" s="7" t="s">
        <v>13</v>
      </c>
      <c r="E386" s="8">
        <f ca="1">IFERROR(__xludf.DUMMYFUNCTION("GOOGLEFINANCE(C386,""Price"")"),976.45)</f>
        <v>976.45</v>
      </c>
      <c r="F386" s="9">
        <f ca="1">IFERROR(__xludf.DUMMYFUNCTION("GOOGLEFINANCE(C386,""change"")"),5.75)</f>
        <v>5.75</v>
      </c>
      <c r="G386" s="10">
        <f ca="1">IFERROR(__xludf.DUMMYFUNCTION("GOOGLEFINANCE(C386,""Changepct"")/100"),0.0059)</f>
        <v>5.8999999999999999E-3</v>
      </c>
      <c r="H386" s="11">
        <f ca="1">IFERROR(__xludf.DUMMYFUNCTION("GOOGLEFINANCE(C386,""Marketcap"")"),916835911500)</f>
        <v>916835911500</v>
      </c>
      <c r="I386" s="9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4" x14ac:dyDescent="0.3">
      <c r="A387" s="6" t="s">
        <v>802</v>
      </c>
      <c r="B387" s="6" t="s">
        <v>29</v>
      </c>
      <c r="C387" s="7" t="s">
        <v>803</v>
      </c>
      <c r="D387" s="7" t="s">
        <v>22</v>
      </c>
      <c r="E387" s="8">
        <f ca="1">IFERROR(__xludf.DUMMYFUNCTION("GOOGLEFINANCE(C387,""Price"")"),971.9)</f>
        <v>971.9</v>
      </c>
      <c r="F387" s="9">
        <f ca="1">IFERROR(__xludf.DUMMYFUNCTION("GOOGLEFINANCE(C387,""change"")"),-29.05)</f>
        <v>-29.05</v>
      </c>
      <c r="G387" s="10">
        <f ca="1">IFERROR(__xludf.DUMMYFUNCTION("GOOGLEFINANCE(C387,""Changepct"")/100"),-0.0289999999999999)</f>
        <v>-2.8999999999999901E-2</v>
      </c>
      <c r="H387" s="11">
        <f ca="1">IFERROR(__xludf.DUMMYFUNCTION("GOOGLEFINANCE(C387,""Marketcap"")"),972715321290)</f>
        <v>972715321290</v>
      </c>
      <c r="I387" s="9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4" x14ac:dyDescent="0.3">
      <c r="A388" s="6" t="s">
        <v>804</v>
      </c>
      <c r="B388" s="6" t="s">
        <v>47</v>
      </c>
      <c r="C388" s="7" t="s">
        <v>805</v>
      </c>
      <c r="D388" s="7" t="s">
        <v>13</v>
      </c>
      <c r="E388" s="8">
        <f ca="1">IFERROR(__xludf.DUMMYFUNCTION("GOOGLEFINANCE(C388,""Price"")"),387.55)</f>
        <v>387.55</v>
      </c>
      <c r="F388" s="9">
        <f ca="1">IFERROR(__xludf.DUMMYFUNCTION("GOOGLEFINANCE(C388,""change"")"),12.45)</f>
        <v>12.45</v>
      </c>
      <c r="G388" s="10">
        <f ca="1">IFERROR(__xludf.DUMMYFUNCTION("GOOGLEFINANCE(C388,""Changepct"")/100"),0.0332)</f>
        <v>3.32E-2</v>
      </c>
      <c r="H388" s="11">
        <f ca="1">IFERROR(__xludf.DUMMYFUNCTION("GOOGLEFINANCE(C388,""Marketcap"")"),57410039524)</f>
        <v>57410039524</v>
      </c>
      <c r="I388" s="9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4" x14ac:dyDescent="0.3">
      <c r="A389" s="6" t="s">
        <v>806</v>
      </c>
      <c r="B389" s="6" t="s">
        <v>44</v>
      </c>
      <c r="C389" s="7" t="s">
        <v>807</v>
      </c>
      <c r="D389" s="7" t="s">
        <v>13</v>
      </c>
      <c r="E389" s="8">
        <f ca="1">IFERROR(__xludf.DUMMYFUNCTION("GOOGLEFINANCE(C389,""Price"")"),27.3)</f>
        <v>27.3</v>
      </c>
      <c r="F389" s="9">
        <f ca="1">IFERROR(__xludf.DUMMYFUNCTION("GOOGLEFINANCE(C389,""change"")"),0.2)</f>
        <v>0.2</v>
      </c>
      <c r="G389" s="10">
        <f ca="1">IFERROR(__xludf.DUMMYFUNCTION("GOOGLEFINANCE(C389,""Changepct"")/100"),0.0074)</f>
        <v>7.4000000000000003E-3</v>
      </c>
      <c r="H389" s="11">
        <f ca="1">IFERROR(__xludf.DUMMYFUNCTION("GOOGLEFINANCE(C389,""Marketcap"")"),107088035003)</f>
        <v>107088035003</v>
      </c>
      <c r="I389" s="9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4" x14ac:dyDescent="0.3">
      <c r="A390" s="6" t="s">
        <v>808</v>
      </c>
      <c r="B390" s="6" t="s">
        <v>15</v>
      </c>
      <c r="C390" s="7" t="s">
        <v>809</v>
      </c>
      <c r="D390" s="7" t="s">
        <v>13</v>
      </c>
      <c r="E390" s="8">
        <f ca="1">IFERROR(__xludf.DUMMYFUNCTION("GOOGLEFINANCE(C390,""Price"")"),2317.9)</f>
        <v>2317.9</v>
      </c>
      <c r="F390" s="9">
        <f ca="1">IFERROR(__xludf.DUMMYFUNCTION("GOOGLEFINANCE(C390,""change"")"),49.6)</f>
        <v>49.6</v>
      </c>
      <c r="G390" s="10">
        <f ca="1">IFERROR(__xludf.DUMMYFUNCTION("GOOGLEFINANCE(C390,""Changepct"")/100"),0.0219)</f>
        <v>2.1899999999999999E-2</v>
      </c>
      <c r="H390" s="11">
        <f ca="1">IFERROR(__xludf.DUMMYFUNCTION("GOOGLEFINANCE(C390,""Marketcap"")"),114431399677)</f>
        <v>114431399677</v>
      </c>
      <c r="I390" s="9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4" x14ac:dyDescent="0.3">
      <c r="A391" s="6" t="s">
        <v>810</v>
      </c>
      <c r="B391" s="6" t="s">
        <v>35</v>
      </c>
      <c r="C391" s="7" t="s">
        <v>811</v>
      </c>
      <c r="D391" s="7" t="s">
        <v>22</v>
      </c>
      <c r="E391" s="8">
        <f ca="1">IFERROR(__xludf.DUMMYFUNCTION("GOOGLEFINANCE(C391,""Price"")"),6299.95)</f>
        <v>6299.95</v>
      </c>
      <c r="F391" s="9">
        <f ca="1">IFERROR(__xludf.DUMMYFUNCTION("GOOGLEFINANCE(C391,""change"")"),5.45)</f>
        <v>5.45</v>
      </c>
      <c r="G391" s="10">
        <f ca="1">IFERROR(__xludf.DUMMYFUNCTION("GOOGLEFINANCE(C391,""Changepct"")/100"),0.0009)</f>
        <v>8.9999999999999998E-4</v>
      </c>
      <c r="H391" s="11">
        <f ca="1">IFERROR(__xludf.DUMMYFUNCTION("GOOGLEFINANCE(C391,""Marketcap"")"),372130290000)</f>
        <v>372130290000</v>
      </c>
      <c r="I391" s="9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4" x14ac:dyDescent="0.3">
      <c r="A392" s="6" t="s">
        <v>812</v>
      </c>
      <c r="B392" s="6" t="s">
        <v>32</v>
      </c>
      <c r="C392" s="7" t="s">
        <v>813</v>
      </c>
      <c r="D392" s="7" t="s">
        <v>13</v>
      </c>
      <c r="E392" s="8">
        <f ca="1">IFERROR(__xludf.DUMMYFUNCTION("GOOGLEFINANCE(C392,""Price"")"),7765)</f>
        <v>7765</v>
      </c>
      <c r="F392" s="9">
        <f ca="1">IFERROR(__xludf.DUMMYFUNCTION("GOOGLEFINANCE(C392,""change"")"),-95.35)</f>
        <v>-95.35</v>
      </c>
      <c r="G392" s="10">
        <f ca="1">IFERROR(__xludf.DUMMYFUNCTION("GOOGLEFINANCE(C392,""Changepct"")/100"),-0.0121)</f>
        <v>-1.21E-2</v>
      </c>
      <c r="H392" s="11">
        <f ca="1">IFERROR(__xludf.DUMMYFUNCTION("GOOGLEFINANCE(C392,""Marketcap"")"),178671771016)</f>
        <v>178671771016</v>
      </c>
      <c r="I392" s="9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4" x14ac:dyDescent="0.3">
      <c r="A393" s="6" t="s">
        <v>814</v>
      </c>
      <c r="B393" s="6" t="s">
        <v>15</v>
      </c>
      <c r="C393" s="7" t="s">
        <v>815</v>
      </c>
      <c r="D393" s="7" t="s">
        <v>13</v>
      </c>
      <c r="E393" s="8">
        <f ca="1">IFERROR(__xludf.DUMMYFUNCTION("GOOGLEFINANCE(C393,""Price"")"),4967.35)</f>
        <v>4967.3500000000004</v>
      </c>
      <c r="F393" s="9">
        <f ca="1">IFERROR(__xludf.DUMMYFUNCTION("GOOGLEFINANCE(C393,""change"")"),-0.1)</f>
        <v>-0.1</v>
      </c>
      <c r="G393" s="10">
        <f ca="1">IFERROR(__xludf.DUMMYFUNCTION("GOOGLEFINANCE(C393,""Changepct"")/100"),0)</f>
        <v>0</v>
      </c>
      <c r="H393" s="11">
        <f ca="1">IFERROR(__xludf.DUMMYFUNCTION("GOOGLEFINANCE(C393,""Marketcap"")"),155282940544)</f>
        <v>155282940544</v>
      </c>
      <c r="I393" s="9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4" x14ac:dyDescent="0.3">
      <c r="A394" s="6" t="s">
        <v>816</v>
      </c>
      <c r="B394" s="6" t="s">
        <v>15</v>
      </c>
      <c r="C394" s="7" t="s">
        <v>817</v>
      </c>
      <c r="D394" s="7" t="s">
        <v>13</v>
      </c>
      <c r="E394" s="8">
        <f ca="1">IFERROR(__xludf.DUMMYFUNCTION("GOOGLEFINANCE(C394,""Price"")"),99.9)</f>
        <v>99.9</v>
      </c>
      <c r="F394" s="9">
        <f ca="1">IFERROR(__xludf.DUMMYFUNCTION("GOOGLEFINANCE(C394,""change"")"),-4.1)</f>
        <v>-4.0999999999999996</v>
      </c>
      <c r="G394" s="10">
        <f ca="1">IFERROR(__xludf.DUMMYFUNCTION("GOOGLEFINANCE(C394,""Changepct"")/100"),-0.0394)</f>
        <v>-3.9399999999999998E-2</v>
      </c>
      <c r="H394" s="11">
        <f ca="1">IFERROR(__xludf.DUMMYFUNCTION("GOOGLEFINANCE(C394,""Marketcap"")"),23886489964)</f>
        <v>23886489964</v>
      </c>
      <c r="I394" s="9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4" x14ac:dyDescent="0.3">
      <c r="A395" s="6" t="s">
        <v>818</v>
      </c>
      <c r="B395" s="6" t="s">
        <v>32</v>
      </c>
      <c r="C395" s="7" t="s">
        <v>819</v>
      </c>
      <c r="D395" s="7" t="s">
        <v>13</v>
      </c>
      <c r="E395" s="8">
        <f ca="1">IFERROR(__xludf.DUMMYFUNCTION("GOOGLEFINANCE(C395,""Price"")"),270)</f>
        <v>270</v>
      </c>
      <c r="F395" s="9">
        <f ca="1">IFERROR(__xludf.DUMMYFUNCTION("GOOGLEFINANCE(C395,""change"")"),-16.7)</f>
        <v>-16.7</v>
      </c>
      <c r="G395" s="10">
        <f ca="1">IFERROR(__xludf.DUMMYFUNCTION("GOOGLEFINANCE(C395,""Changepct"")/100"),-0.0582)</f>
        <v>-5.8200000000000002E-2</v>
      </c>
      <c r="H395" s="11">
        <f ca="1">IFERROR(__xludf.DUMMYFUNCTION("GOOGLEFINANCE(C395,""Marketcap"")"),66642858000)</f>
        <v>66642858000</v>
      </c>
      <c r="I395" s="9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4" x14ac:dyDescent="0.3">
      <c r="A396" s="6" t="s">
        <v>820</v>
      </c>
      <c r="B396" s="6" t="s">
        <v>157</v>
      </c>
      <c r="C396" s="7" t="s">
        <v>821</v>
      </c>
      <c r="D396" s="7" t="s">
        <v>13</v>
      </c>
      <c r="E396" s="8">
        <f ca="1">IFERROR(__xludf.DUMMYFUNCTION("GOOGLEFINANCE(C396,""Price"")"),325.7)</f>
        <v>325.7</v>
      </c>
      <c r="F396" s="9">
        <f ca="1">IFERROR(__xludf.DUMMYFUNCTION("GOOGLEFINANCE(C396,""change"")"),-4.2)</f>
        <v>-4.2</v>
      </c>
      <c r="G396" s="10">
        <f ca="1">IFERROR(__xludf.DUMMYFUNCTION("GOOGLEFINANCE(C396,""Changepct"")/100"),-0.0127)</f>
        <v>-1.2699999999999999E-2</v>
      </c>
      <c r="H396" s="11">
        <f ca="1">IFERROR(__xludf.DUMMYFUNCTION("GOOGLEFINANCE(C396,""Marketcap"")"),29073863801)</f>
        <v>29073863801</v>
      </c>
      <c r="I396" s="9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4" x14ac:dyDescent="0.3">
      <c r="A397" s="6" t="s">
        <v>822</v>
      </c>
      <c r="B397" s="6" t="s">
        <v>11</v>
      </c>
      <c r="C397" s="7" t="s">
        <v>823</v>
      </c>
      <c r="D397" s="7" t="s">
        <v>13</v>
      </c>
      <c r="E397" s="8">
        <f ca="1">IFERROR(__xludf.DUMMYFUNCTION("GOOGLEFINANCE(C397,""Price"")"),2020)</f>
        <v>2020</v>
      </c>
      <c r="F397" s="9">
        <f ca="1">IFERROR(__xludf.DUMMYFUNCTION("GOOGLEFINANCE(C397,""change"")"),-3.7)</f>
        <v>-3.7</v>
      </c>
      <c r="G397" s="10">
        <f ca="1">IFERROR(__xludf.DUMMYFUNCTION("GOOGLEFINANCE(C397,""Changepct"")/100"),-0.0018)</f>
        <v>-1.8E-3</v>
      </c>
      <c r="H397" s="11">
        <f ca="1">IFERROR(__xludf.DUMMYFUNCTION("GOOGLEFINANCE(C397,""Marketcap"")"),98541256000)</f>
        <v>98541256000</v>
      </c>
      <c r="I397" s="9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4" x14ac:dyDescent="0.3">
      <c r="A398" s="6" t="s">
        <v>824</v>
      </c>
      <c r="B398" s="6" t="s">
        <v>32</v>
      </c>
      <c r="C398" s="7" t="s">
        <v>825</v>
      </c>
      <c r="D398" s="7" t="s">
        <v>13</v>
      </c>
      <c r="E398" s="8">
        <f ca="1">IFERROR(__xludf.DUMMYFUNCTION("GOOGLEFINANCE(C398,""Price"")"),446.7)</f>
        <v>446.7</v>
      </c>
      <c r="F398" s="9">
        <f ca="1">IFERROR(__xludf.DUMMYFUNCTION("GOOGLEFINANCE(C398,""change"")"),-11.7)</f>
        <v>-11.7</v>
      </c>
      <c r="G398" s="10">
        <f ca="1">IFERROR(__xludf.DUMMYFUNCTION("GOOGLEFINANCE(C398,""Changepct"")/100"),-0.0255)</f>
        <v>-2.5499999999999998E-2</v>
      </c>
      <c r="H398" s="11">
        <f ca="1">IFERROR(__xludf.DUMMYFUNCTION("GOOGLEFINANCE(C398,""Marketcap"")"),36353287271)</f>
        <v>36353287271</v>
      </c>
      <c r="I398" s="9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4" x14ac:dyDescent="0.3">
      <c r="A399" s="6" t="s">
        <v>826</v>
      </c>
      <c r="B399" s="6" t="s">
        <v>47</v>
      </c>
      <c r="C399" s="7" t="s">
        <v>827</v>
      </c>
      <c r="D399" s="7" t="s">
        <v>13</v>
      </c>
      <c r="E399" s="8">
        <f ca="1">IFERROR(__xludf.DUMMYFUNCTION("GOOGLEFINANCE(C399,""Price"")"),115.55)</f>
        <v>115.55</v>
      </c>
      <c r="F399" s="9">
        <f ca="1">IFERROR(__xludf.DUMMYFUNCTION("GOOGLEFINANCE(C399,""change"")"),-7)</f>
        <v>-7</v>
      </c>
      <c r="G399" s="10">
        <f ca="1">IFERROR(__xludf.DUMMYFUNCTION("GOOGLEFINANCE(C399,""Changepct"")/100"),-0.0571)</f>
        <v>-5.7099999999999998E-2</v>
      </c>
      <c r="H399" s="11">
        <f ca="1">IFERROR(__xludf.DUMMYFUNCTION("GOOGLEFINANCE(C399,""Marketcap"")"),53775142851)</f>
        <v>53775142851</v>
      </c>
      <c r="I399" s="9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4" x14ac:dyDescent="0.3">
      <c r="A400" s="6" t="s">
        <v>828</v>
      </c>
      <c r="B400" s="6" t="s">
        <v>57</v>
      </c>
      <c r="C400" s="7" t="s">
        <v>829</v>
      </c>
      <c r="D400" s="7" t="s">
        <v>13</v>
      </c>
      <c r="E400" s="8">
        <f ca="1">IFERROR(__xludf.DUMMYFUNCTION("GOOGLEFINANCE(C400,""Price"")"),200.7)</f>
        <v>200.7</v>
      </c>
      <c r="F400" s="9">
        <f ca="1">IFERROR(__xludf.DUMMYFUNCTION("GOOGLEFINANCE(C400,""change"")"),-4.15)</f>
        <v>-4.1500000000000004</v>
      </c>
      <c r="G400" s="10">
        <f ca="1">IFERROR(__xludf.DUMMYFUNCTION("GOOGLEFINANCE(C400,""Changepct"")/100"),-0.0203)</f>
        <v>-2.0299999999999999E-2</v>
      </c>
      <c r="H400" s="11">
        <f ca="1">IFERROR(__xludf.DUMMYFUNCTION("GOOGLEFINANCE(C400,""Marketcap"")"),21948310826)</f>
        <v>21948310826</v>
      </c>
      <c r="I400" s="9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4" x14ac:dyDescent="0.3">
      <c r="A401" s="6" t="s">
        <v>830</v>
      </c>
      <c r="B401" s="6" t="s">
        <v>20</v>
      </c>
      <c r="C401" s="7" t="s">
        <v>831</v>
      </c>
      <c r="D401" s="7" t="s">
        <v>22</v>
      </c>
      <c r="E401" s="8">
        <f ca="1">IFERROR(__xludf.DUMMYFUNCTION("GOOGLEFINANCE(C401,""Price"")"),26868.05)</f>
        <v>26868.05</v>
      </c>
      <c r="F401" s="9">
        <f ca="1">IFERROR(__xludf.DUMMYFUNCTION("GOOGLEFINANCE(C401,""change"")"),-645.05)</f>
        <v>-645.04999999999995</v>
      </c>
      <c r="G401" s="10">
        <f ca="1">IFERROR(__xludf.DUMMYFUNCTION("GOOGLEFINANCE(C401,""Changepct"")/100"),-0.0233999999999999)</f>
        <v>-2.33999999999999E-2</v>
      </c>
      <c r="H401" s="11">
        <f ca="1">IFERROR(__xludf.DUMMYFUNCTION("GOOGLEFINANCE(C401,""Marketcap"")"),969419423225)</f>
        <v>969419423225</v>
      </c>
      <c r="I401" s="9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4" x14ac:dyDescent="0.3">
      <c r="A402" s="6" t="s">
        <v>832</v>
      </c>
      <c r="B402" s="6" t="s">
        <v>29</v>
      </c>
      <c r="C402" s="7" t="s">
        <v>833</v>
      </c>
      <c r="D402" s="7" t="s">
        <v>13</v>
      </c>
      <c r="E402" s="8">
        <f ca="1">IFERROR(__xludf.DUMMYFUNCTION("GOOGLEFINANCE(C402,""Price"")"),1625)</f>
        <v>1625</v>
      </c>
      <c r="F402" s="9">
        <f ca="1">IFERROR(__xludf.DUMMYFUNCTION("GOOGLEFINANCE(C402,""change"")"),13.15)</f>
        <v>13.15</v>
      </c>
      <c r="G402" s="10">
        <f ca="1">IFERROR(__xludf.DUMMYFUNCTION("GOOGLEFINANCE(C402,""Changepct"")/100"),0.00819999999999999)</f>
        <v>8.1999999999999903E-3</v>
      </c>
      <c r="H402" s="11">
        <f ca="1">IFERROR(__xludf.DUMMYFUNCTION("GOOGLEFINANCE(C402,""Marketcap"")"),106944048566)</f>
        <v>106944048566</v>
      </c>
      <c r="I402" s="9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4" x14ac:dyDescent="0.3">
      <c r="A403" s="6" t="s">
        <v>834</v>
      </c>
      <c r="B403" s="6" t="s">
        <v>29</v>
      </c>
      <c r="C403" s="7" t="s">
        <v>835</v>
      </c>
      <c r="D403" s="7" t="s">
        <v>22</v>
      </c>
      <c r="E403" s="8">
        <f ca="1">IFERROR(__xludf.DUMMYFUNCTION("GOOGLEFINANCE(C403,""Price"")"),1344)</f>
        <v>1344</v>
      </c>
      <c r="F403" s="9">
        <f ca="1">IFERROR(__xludf.DUMMYFUNCTION("GOOGLEFINANCE(C403,""change"")"),1.5)</f>
        <v>1.5</v>
      </c>
      <c r="G403" s="10">
        <f ca="1">IFERROR(__xludf.DUMMYFUNCTION("GOOGLEFINANCE(C403,""Changepct"")/100"),0.0011)</f>
        <v>1.1000000000000001E-3</v>
      </c>
      <c r="H403" s="11">
        <f ca="1">IFERROR(__xludf.DUMMYFUNCTION("GOOGLEFINANCE(C403,""Marketcap"")"),340608357820)</f>
        <v>340608357820</v>
      </c>
      <c r="I403" s="9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4" x14ac:dyDescent="0.3">
      <c r="A404" s="6" t="s">
        <v>836</v>
      </c>
      <c r="B404" s="6" t="s">
        <v>15</v>
      </c>
      <c r="C404" s="7" t="s">
        <v>837</v>
      </c>
      <c r="D404" s="7" t="s">
        <v>22</v>
      </c>
      <c r="E404" s="8">
        <f ca="1">IFERROR(__xludf.DUMMYFUNCTION("GOOGLEFINANCE(C404,""Price"")"),2008.05)</f>
        <v>2008.05</v>
      </c>
      <c r="F404" s="9">
        <f ca="1">IFERROR(__xludf.DUMMYFUNCTION("GOOGLEFINANCE(C404,""change"")"),59.4)</f>
        <v>59.4</v>
      </c>
      <c r="G404" s="10">
        <f ca="1">IFERROR(__xludf.DUMMYFUNCTION("GOOGLEFINANCE(C404,""Changepct"")/100"),0.0305)</f>
        <v>3.0499999999999999E-2</v>
      </c>
      <c r="H404" s="11">
        <f ca="1">IFERROR(__xludf.DUMMYFUNCTION("GOOGLEFINANCE(C404,""Marketcap"")"),713447811125)</f>
        <v>713447811125</v>
      </c>
      <c r="I404" s="9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4" x14ac:dyDescent="0.3">
      <c r="A405" s="6" t="s">
        <v>838</v>
      </c>
      <c r="B405" s="6" t="s">
        <v>100</v>
      </c>
      <c r="C405" s="7" t="s">
        <v>839</v>
      </c>
      <c r="D405" s="7" t="s">
        <v>13</v>
      </c>
      <c r="E405" s="8">
        <f ca="1">IFERROR(__xludf.DUMMYFUNCTION("GOOGLEFINANCE(C405,""Price"")"),459.9)</f>
        <v>459.9</v>
      </c>
      <c r="F405" s="9">
        <f ca="1">IFERROR(__xludf.DUMMYFUNCTION("GOOGLEFINANCE(C405,""change"")"),-3.35)</f>
        <v>-3.35</v>
      </c>
      <c r="G405" s="10">
        <f ca="1">IFERROR(__xludf.DUMMYFUNCTION("GOOGLEFINANCE(C405,""Changepct"")/100"),-0.0072)</f>
        <v>-7.1999999999999998E-3</v>
      </c>
      <c r="H405" s="11">
        <f ca="1">IFERROR(__xludf.DUMMYFUNCTION("GOOGLEFINANCE(C405,""Marketcap"")"),43619601237)</f>
        <v>43619601237</v>
      </c>
      <c r="I405" s="9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4" x14ac:dyDescent="0.3">
      <c r="A406" s="6" t="s">
        <v>840</v>
      </c>
      <c r="B406" s="6" t="s">
        <v>35</v>
      </c>
      <c r="C406" s="7" t="s">
        <v>841</v>
      </c>
      <c r="D406" s="7" t="s">
        <v>13</v>
      </c>
      <c r="E406" s="8">
        <f ca="1">IFERROR(__xludf.DUMMYFUNCTION("GOOGLEFINANCE(C406,""Price"")"),1215)</f>
        <v>1215</v>
      </c>
      <c r="F406" s="9">
        <f ca="1">IFERROR(__xludf.DUMMYFUNCTION("GOOGLEFINANCE(C406,""change"")"),-9.65)</f>
        <v>-9.65</v>
      </c>
      <c r="G406" s="10">
        <f ca="1">IFERROR(__xludf.DUMMYFUNCTION("GOOGLEFINANCE(C406,""Changepct"")/100"),-0.0079)</f>
        <v>-7.9000000000000008E-3</v>
      </c>
      <c r="H406" s="11">
        <f ca="1">IFERROR(__xludf.DUMMYFUNCTION("GOOGLEFINANCE(C406,""Marketcap"")"),109945362150)</f>
        <v>109945362150</v>
      </c>
      <c r="I406" s="9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4" x14ac:dyDescent="0.3">
      <c r="A407" s="6" t="s">
        <v>842</v>
      </c>
      <c r="B407" s="6" t="s">
        <v>32</v>
      </c>
      <c r="C407" s="7" t="s">
        <v>843</v>
      </c>
      <c r="D407" s="7" t="s">
        <v>13</v>
      </c>
      <c r="E407" s="8">
        <f ca="1">IFERROR(__xludf.DUMMYFUNCTION("GOOGLEFINANCE(C407,""Price"")"),1745.5)</f>
        <v>1745.5</v>
      </c>
      <c r="F407" s="9">
        <f ca="1">IFERROR(__xludf.DUMMYFUNCTION("GOOGLEFINANCE(C407,""change"")"),49.85)</f>
        <v>49.85</v>
      </c>
      <c r="G407" s="10">
        <f ca="1">IFERROR(__xludf.DUMMYFUNCTION("GOOGLEFINANCE(C407,""Changepct"")/100"),0.0294)</f>
        <v>2.9399999999999999E-2</v>
      </c>
      <c r="H407" s="11">
        <f ca="1">IFERROR(__xludf.DUMMYFUNCTION("GOOGLEFINANCE(C407,""Marketcap"")"),62715396080)</f>
        <v>62715396080</v>
      </c>
      <c r="I407" s="9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4" x14ac:dyDescent="0.3">
      <c r="A408" s="6" t="s">
        <v>844</v>
      </c>
      <c r="B408" s="6" t="s">
        <v>64</v>
      </c>
      <c r="C408" s="7" t="s">
        <v>845</v>
      </c>
      <c r="D408" s="7" t="s">
        <v>13</v>
      </c>
      <c r="E408" s="8">
        <f ca="1">IFERROR(__xludf.DUMMYFUNCTION("GOOGLEFINANCE(C408,""Price"")"),587.95)</f>
        <v>587.95000000000005</v>
      </c>
      <c r="F408" s="9">
        <f ca="1">IFERROR(__xludf.DUMMYFUNCTION("GOOGLEFINANCE(C408,""change"")"),-2.55)</f>
        <v>-2.5499999999999998</v>
      </c>
      <c r="G408" s="10">
        <f ca="1">IFERROR(__xludf.DUMMYFUNCTION("GOOGLEFINANCE(C408,""Changepct"")/100"),-0.0043)</f>
        <v>-4.3E-3</v>
      </c>
      <c r="H408" s="11">
        <f ca="1">IFERROR(__xludf.DUMMYFUNCTION("GOOGLEFINANCE(C408,""Marketcap"")"),61092768663)</f>
        <v>61092768663</v>
      </c>
      <c r="I408" s="9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4" x14ac:dyDescent="0.3">
      <c r="A409" s="6" t="s">
        <v>846</v>
      </c>
      <c r="B409" s="6" t="s">
        <v>29</v>
      </c>
      <c r="C409" s="7" t="s">
        <v>847</v>
      </c>
      <c r="D409" s="7" t="s">
        <v>13</v>
      </c>
      <c r="E409" s="8">
        <f ca="1">IFERROR(__xludf.DUMMYFUNCTION("GOOGLEFINANCE(C409,""Price"")"),593)</f>
        <v>593</v>
      </c>
      <c r="F409" s="9">
        <f ca="1">IFERROR(__xludf.DUMMYFUNCTION("GOOGLEFINANCE(C409,""change"")"),-4.15)</f>
        <v>-4.1500000000000004</v>
      </c>
      <c r="G409" s="10">
        <f ca="1">IFERROR(__xludf.DUMMYFUNCTION("GOOGLEFINANCE(C409,""Changepct"")/100"),-0.0069)</f>
        <v>-6.8999999999999999E-3</v>
      </c>
      <c r="H409" s="11">
        <f ca="1">IFERROR(__xludf.DUMMYFUNCTION("GOOGLEFINANCE(C409,""Marketcap"")"),38139079640)</f>
        <v>38139079640</v>
      </c>
      <c r="I409" s="9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4" x14ac:dyDescent="0.3">
      <c r="A410" s="6" t="s">
        <v>848</v>
      </c>
      <c r="B410" s="6" t="s">
        <v>47</v>
      </c>
      <c r="C410" s="7" t="s">
        <v>849</v>
      </c>
      <c r="D410" s="7" t="s">
        <v>13</v>
      </c>
      <c r="E410" s="8">
        <f ca="1">IFERROR(__xludf.DUMMYFUNCTION("GOOGLEFINANCE(C410,""Price"")"),72.25)</f>
        <v>72.25</v>
      </c>
      <c r="F410" s="9">
        <f ca="1">IFERROR(__xludf.DUMMYFUNCTION("GOOGLEFINANCE(C410,""change"")"),2.6)</f>
        <v>2.6</v>
      </c>
      <c r="G410" s="10">
        <f ca="1">IFERROR(__xludf.DUMMYFUNCTION("GOOGLEFINANCE(C410,""Changepct"")/100"),0.0373)</f>
        <v>3.73E-2</v>
      </c>
      <c r="H410" s="11">
        <f ca="1">IFERROR(__xludf.DUMMYFUNCTION("GOOGLEFINANCE(C410,""Marketcap"")"),43177308163)</f>
        <v>43177308163</v>
      </c>
      <c r="I410" s="9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4" x14ac:dyDescent="0.3">
      <c r="A411" s="6" t="s">
        <v>850</v>
      </c>
      <c r="B411" s="6" t="s">
        <v>20</v>
      </c>
      <c r="C411" s="7" t="s">
        <v>851</v>
      </c>
      <c r="D411" s="7" t="s">
        <v>13</v>
      </c>
      <c r="E411" s="8">
        <f ca="1">IFERROR(__xludf.DUMMYFUNCTION("GOOGLEFINANCE(C411,""Price"")"),102.4)</f>
        <v>102.4</v>
      </c>
      <c r="F411" s="9">
        <f ca="1">IFERROR(__xludf.DUMMYFUNCTION("GOOGLEFINANCE(C411,""change"")"),-0.1)</f>
        <v>-0.1</v>
      </c>
      <c r="G411" s="10">
        <f ca="1">IFERROR(__xludf.DUMMYFUNCTION("GOOGLEFINANCE(C411,""Changepct"")/100"),-0.001)</f>
        <v>-1E-3</v>
      </c>
      <c r="H411" s="11">
        <f ca="1">IFERROR(__xludf.DUMMYFUNCTION("GOOGLEFINANCE(C411,""Marketcap"")"),42026743800)</f>
        <v>42026743800</v>
      </c>
      <c r="I411" s="9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4" x14ac:dyDescent="0.3">
      <c r="A412" s="6" t="s">
        <v>852</v>
      </c>
      <c r="B412" s="6" t="s">
        <v>29</v>
      </c>
      <c r="C412" s="7" t="s">
        <v>853</v>
      </c>
      <c r="D412" s="7" t="s">
        <v>22</v>
      </c>
      <c r="E412" s="8">
        <f ca="1">IFERROR(__xludf.DUMMYFUNCTION("GOOGLEFINANCE(C412,""Price"")"),367.75)</f>
        <v>367.75</v>
      </c>
      <c r="F412" s="9">
        <f ca="1">IFERROR(__xludf.DUMMYFUNCTION("GOOGLEFINANCE(C412,""change"")"),3.1)</f>
        <v>3.1</v>
      </c>
      <c r="G412" s="10">
        <f ca="1">IFERROR(__xludf.DUMMYFUNCTION("GOOGLEFINANCE(C412,""Changepct"")/100"),0.0085)</f>
        <v>8.5000000000000006E-3</v>
      </c>
      <c r="H412" s="11">
        <f ca="1">IFERROR(__xludf.DUMMYFUNCTION("GOOGLEFINANCE(C412,""Marketcap"")"),3284720308001)</f>
        <v>3284720308001</v>
      </c>
      <c r="I412" s="9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4" x14ac:dyDescent="0.3">
      <c r="A413" s="6" t="s">
        <v>854</v>
      </c>
      <c r="B413" s="6" t="s">
        <v>26</v>
      </c>
      <c r="C413" s="7" t="s">
        <v>855</v>
      </c>
      <c r="D413" s="7" t="s">
        <v>22</v>
      </c>
      <c r="E413" s="8">
        <f ca="1">IFERROR(__xludf.DUMMYFUNCTION("GOOGLEFINANCE(C413,""Price"")"),132.6)</f>
        <v>132.6</v>
      </c>
      <c r="F413" s="9">
        <f ca="1">IFERROR(__xludf.DUMMYFUNCTION("GOOGLEFINANCE(C413,""change"")"),-7.8)</f>
        <v>-7.8</v>
      </c>
      <c r="G413" s="10">
        <f ca="1">IFERROR(__xludf.DUMMYFUNCTION("GOOGLEFINANCE(C413,""Changepct"")/100"),-0.0556)</f>
        <v>-5.5599999999999997E-2</v>
      </c>
      <c r="H413" s="11">
        <f ca="1">IFERROR(__xludf.DUMMYFUNCTION("GOOGLEFINANCE(C413,""Marketcap"")"),545666724403)</f>
        <v>545666724403</v>
      </c>
      <c r="I413" s="9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4" x14ac:dyDescent="0.3">
      <c r="A414" s="6" t="s">
        <v>856</v>
      </c>
      <c r="B414" s="6" t="s">
        <v>100</v>
      </c>
      <c r="C414" s="7" t="s">
        <v>857</v>
      </c>
      <c r="D414" s="7" t="s">
        <v>13</v>
      </c>
      <c r="E414" s="8">
        <f ca="1">IFERROR(__xludf.DUMMYFUNCTION("GOOGLEFINANCE(C414,""Price"")"),283.35)</f>
        <v>283.35000000000002</v>
      </c>
      <c r="F414" s="9">
        <f ca="1">IFERROR(__xludf.DUMMYFUNCTION("GOOGLEFINANCE(C414,""change"")"),-13.9)</f>
        <v>-13.9</v>
      </c>
      <c r="G414" s="10">
        <f ca="1">IFERROR(__xludf.DUMMYFUNCTION("GOOGLEFINANCE(C414,""Changepct"")/100"),-0.0467999999999999)</f>
        <v>-4.6799999999999897E-2</v>
      </c>
      <c r="H414" s="11">
        <f ca="1">IFERROR(__xludf.DUMMYFUNCTION("GOOGLEFINANCE(C414,""Marketcap"")"),45344126859)</f>
        <v>45344126859</v>
      </c>
      <c r="I414" s="9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4" x14ac:dyDescent="0.3">
      <c r="A415" s="6" t="s">
        <v>858</v>
      </c>
      <c r="B415" s="6" t="s">
        <v>174</v>
      </c>
      <c r="C415" s="7" t="s">
        <v>859</v>
      </c>
      <c r="D415" s="7" t="s">
        <v>13</v>
      </c>
      <c r="E415" s="8">
        <f ca="1">IFERROR(__xludf.DUMMYFUNCTION("GOOGLEFINANCE(C415,""Price"")"),232.5)</f>
        <v>232.5</v>
      </c>
      <c r="F415" s="9">
        <f ca="1">IFERROR(__xludf.DUMMYFUNCTION("GOOGLEFINANCE(C415,""change"")"),3.85)</f>
        <v>3.85</v>
      </c>
      <c r="G415" s="10">
        <f ca="1">IFERROR(__xludf.DUMMYFUNCTION("GOOGLEFINANCE(C415,""Changepct"")/100"),0.0168)</f>
        <v>1.6799999999999999E-2</v>
      </c>
      <c r="H415" s="11">
        <f ca="1">IFERROR(__xludf.DUMMYFUNCTION("GOOGLEFINANCE(C415,""Marketcap"")"),92017765600)</f>
        <v>92017765600</v>
      </c>
      <c r="I415" s="9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4" x14ac:dyDescent="0.3">
      <c r="A416" s="6" t="s">
        <v>860</v>
      </c>
      <c r="B416" s="6" t="s">
        <v>32</v>
      </c>
      <c r="C416" s="7" t="s">
        <v>861</v>
      </c>
      <c r="D416" s="7" t="s">
        <v>13</v>
      </c>
      <c r="E416" s="8">
        <f ca="1">IFERROR(__xludf.DUMMYFUNCTION("GOOGLEFINANCE(C416,""Price"")"),809.8)</f>
        <v>809.8</v>
      </c>
      <c r="F416" s="9">
        <f ca="1">IFERROR(__xludf.DUMMYFUNCTION("GOOGLEFINANCE(C416,""change"")"),-27.95)</f>
        <v>-27.95</v>
      </c>
      <c r="G416" s="10">
        <f ca="1">IFERROR(__xludf.DUMMYFUNCTION("GOOGLEFINANCE(C416,""Changepct"")/100"),-0.0334)</f>
        <v>-3.3399999999999999E-2</v>
      </c>
      <c r="H416" s="11">
        <f ca="1">IFERROR(__xludf.DUMMYFUNCTION("GOOGLEFINANCE(C416,""Marketcap"")"),72614523081)</f>
        <v>72614523081</v>
      </c>
      <c r="I416" s="9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4" x14ac:dyDescent="0.3">
      <c r="A417" s="6" t="s">
        <v>862</v>
      </c>
      <c r="B417" s="6" t="s">
        <v>35</v>
      </c>
      <c r="C417" s="7" t="s">
        <v>863</v>
      </c>
      <c r="D417" s="7" t="s">
        <v>13</v>
      </c>
      <c r="E417" s="8">
        <f ca="1">IFERROR(__xludf.DUMMYFUNCTION("GOOGLEFINANCE(C417,""Price"")"),681.8)</f>
        <v>681.8</v>
      </c>
      <c r="F417" s="9">
        <f ca="1">IFERROR(__xludf.DUMMYFUNCTION("GOOGLEFINANCE(C417,""change"")"),-15.15)</f>
        <v>-15.15</v>
      </c>
      <c r="G417" s="10">
        <f ca="1">IFERROR(__xludf.DUMMYFUNCTION("GOOGLEFINANCE(C417,""Changepct"")/100"),-0.0217)</f>
        <v>-2.1700000000000001E-2</v>
      </c>
      <c r="H417" s="11">
        <f ca="1">IFERROR(__xludf.DUMMYFUNCTION("GOOGLEFINANCE(C417,""Marketcap"")"),47355532081)</f>
        <v>47355532081</v>
      </c>
      <c r="I417" s="9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4" x14ac:dyDescent="0.3">
      <c r="A418" s="6" t="s">
        <v>864</v>
      </c>
      <c r="B418" s="6" t="s">
        <v>157</v>
      </c>
      <c r="C418" s="7" t="s">
        <v>865</v>
      </c>
      <c r="D418" s="7" t="s">
        <v>13</v>
      </c>
      <c r="E418" s="8">
        <f ca="1">IFERROR(__xludf.DUMMYFUNCTION("GOOGLEFINANCE(C418,""Price"")"),305.8)</f>
        <v>305.8</v>
      </c>
      <c r="F418" s="9">
        <f ca="1">IFERROR(__xludf.DUMMYFUNCTION("GOOGLEFINANCE(C418,""change"")"),-3.8)</f>
        <v>-3.8</v>
      </c>
      <c r="G418" s="10">
        <f ca="1">IFERROR(__xludf.DUMMYFUNCTION("GOOGLEFINANCE(C418,""Changepct"")/100"),-0.0123)</f>
        <v>-1.23E-2</v>
      </c>
      <c r="H418" s="11">
        <f ca="1">IFERROR(__xludf.DUMMYFUNCTION("GOOGLEFINANCE(C418,""Marketcap"")"),152638718386)</f>
        <v>152638718386</v>
      </c>
      <c r="I418" s="9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4" x14ac:dyDescent="0.3">
      <c r="A419" s="6" t="s">
        <v>866</v>
      </c>
      <c r="B419" s="6" t="s">
        <v>32</v>
      </c>
      <c r="C419" s="7" t="s">
        <v>867</v>
      </c>
      <c r="D419" s="7" t="s">
        <v>13</v>
      </c>
      <c r="E419" s="8">
        <f ca="1">IFERROR(__xludf.DUMMYFUNCTION("GOOGLEFINANCE(C419,""Price"")"),241)</f>
        <v>241</v>
      </c>
      <c r="F419" s="9">
        <f ca="1">IFERROR(__xludf.DUMMYFUNCTION("GOOGLEFINANCE(C419,""change"")"),15.25)</f>
        <v>15.25</v>
      </c>
      <c r="G419" s="10">
        <f ca="1">IFERROR(__xludf.DUMMYFUNCTION("GOOGLEFINANCE(C419,""Changepct"")/100"),0.0676)</f>
        <v>6.7599999999999993E-2</v>
      </c>
      <c r="H419" s="11">
        <f ca="1">IFERROR(__xludf.DUMMYFUNCTION("GOOGLEFINANCE(C419,""Marketcap"")"),62787373324)</f>
        <v>62787373324</v>
      </c>
      <c r="I419" s="9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4" x14ac:dyDescent="0.3">
      <c r="A420" s="6" t="s">
        <v>868</v>
      </c>
      <c r="B420" s="6" t="s">
        <v>32</v>
      </c>
      <c r="C420" s="7" t="s">
        <v>869</v>
      </c>
      <c r="D420" s="7" t="s">
        <v>22</v>
      </c>
      <c r="E420" s="8">
        <f ca="1">IFERROR(__xludf.DUMMYFUNCTION("GOOGLEFINANCE(C420,""Price"")"),703)</f>
        <v>703</v>
      </c>
      <c r="F420" s="9">
        <f ca="1">IFERROR(__xludf.DUMMYFUNCTION("GOOGLEFINANCE(C420,""change"")"),-5.1)</f>
        <v>-5.0999999999999996</v>
      </c>
      <c r="G420" s="10">
        <f ca="1">IFERROR(__xludf.DUMMYFUNCTION("GOOGLEFINANCE(C420,""Changepct"")/100"),-0.0072)</f>
        <v>-7.1999999999999998E-3</v>
      </c>
      <c r="H420" s="11">
        <f ca="1">IFERROR(__xludf.DUMMYFUNCTION("GOOGLEFINANCE(C420,""Marketcap"")"),1686487940898)</f>
        <v>1686487940898</v>
      </c>
      <c r="I420" s="9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4" x14ac:dyDescent="0.3">
      <c r="A421" s="6" t="s">
        <v>870</v>
      </c>
      <c r="B421" s="6" t="s">
        <v>288</v>
      </c>
      <c r="C421" s="7" t="s">
        <v>871</v>
      </c>
      <c r="D421" s="7" t="s">
        <v>22</v>
      </c>
      <c r="E421" s="8">
        <f ca="1">IFERROR(__xludf.DUMMYFUNCTION("GOOGLEFINANCE(C421,""Price"")"),526.25)</f>
        <v>526.25</v>
      </c>
      <c r="F421" s="9">
        <f ca="1">IFERROR(__xludf.DUMMYFUNCTION("GOOGLEFINANCE(C421,""change"")"),7.65)</f>
        <v>7.65</v>
      </c>
      <c r="G421" s="10">
        <f ca="1">IFERROR(__xludf.DUMMYFUNCTION("GOOGLEFINANCE(C421,""Changepct"")/100"),0.0148)</f>
        <v>1.4800000000000001E-2</v>
      </c>
      <c r="H421" s="11">
        <f ca="1">IFERROR(__xludf.DUMMYFUNCTION("GOOGLEFINANCE(C421,""Marketcap"")"),207343892035)</f>
        <v>207343892035</v>
      </c>
      <c r="I421" s="9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4" x14ac:dyDescent="0.3">
      <c r="A422" s="6" t="s">
        <v>872</v>
      </c>
      <c r="B422" s="6" t="s">
        <v>82</v>
      </c>
      <c r="C422" s="7" t="s">
        <v>873</v>
      </c>
      <c r="D422" s="7" t="s">
        <v>13</v>
      </c>
      <c r="E422" s="8">
        <f ca="1">IFERROR(__xludf.DUMMYFUNCTION("GOOGLEFINANCE(C422,""Price"")"),3125)</f>
        <v>3125</v>
      </c>
      <c r="F422" s="9">
        <f ca="1">IFERROR(__xludf.DUMMYFUNCTION("GOOGLEFINANCE(C422,""change"")"),-22.95)</f>
        <v>-22.95</v>
      </c>
      <c r="G422" s="10">
        <f ca="1">IFERROR(__xludf.DUMMYFUNCTION("GOOGLEFINANCE(C422,""Changepct"")/100"),-0.0073)</f>
        <v>-7.3000000000000001E-3</v>
      </c>
      <c r="H422" s="11">
        <f ca="1">IFERROR(__xludf.DUMMYFUNCTION("GOOGLEFINANCE(C422,""Marketcap"")"),63250000000)</f>
        <v>63250000000</v>
      </c>
      <c r="I422" s="9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4" x14ac:dyDescent="0.3">
      <c r="A423" s="6" t="s">
        <v>874</v>
      </c>
      <c r="B423" s="6" t="s">
        <v>29</v>
      </c>
      <c r="C423" s="7" t="s">
        <v>875</v>
      </c>
      <c r="D423" s="7" t="s">
        <v>13</v>
      </c>
      <c r="E423" s="8">
        <f ca="1">IFERROR(__xludf.DUMMYFUNCTION("GOOGLEFINANCE(C423,""Price"")"),2405)</f>
        <v>2405</v>
      </c>
      <c r="F423" s="9">
        <f ca="1">IFERROR(__xludf.DUMMYFUNCTION("GOOGLEFINANCE(C423,""change"")"),-0.3)</f>
        <v>-0.3</v>
      </c>
      <c r="G423" s="10">
        <f ca="1">IFERROR(__xludf.DUMMYFUNCTION("GOOGLEFINANCE(C423,""Changepct"")/100"),-0.0001)</f>
        <v>-1E-4</v>
      </c>
      <c r="H423" s="11">
        <f ca="1">IFERROR(__xludf.DUMMYFUNCTION("GOOGLEFINANCE(C423,""Marketcap"")"),261096439246)</f>
        <v>261096439246</v>
      </c>
      <c r="I423" s="9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4" x14ac:dyDescent="0.3">
      <c r="A424" s="6" t="s">
        <v>876</v>
      </c>
      <c r="B424" s="6" t="s">
        <v>82</v>
      </c>
      <c r="C424" s="7" t="s">
        <v>877</v>
      </c>
      <c r="D424" s="7" t="s">
        <v>13</v>
      </c>
      <c r="E424" s="8">
        <f ca="1">IFERROR(__xludf.DUMMYFUNCTION("GOOGLEFINANCE(C424,""Price"")"),695.2)</f>
        <v>695.2</v>
      </c>
      <c r="F424" s="9">
        <f ca="1">IFERROR(__xludf.DUMMYFUNCTION("GOOGLEFINANCE(C424,""change"")"),-9.35)</f>
        <v>-9.35</v>
      </c>
      <c r="G424" s="10">
        <f ca="1">IFERROR(__xludf.DUMMYFUNCTION("GOOGLEFINANCE(C424,""Changepct"")/100"),-0.0133)</f>
        <v>-1.3299999999999999E-2</v>
      </c>
      <c r="H424" s="11">
        <f ca="1">IFERROR(__xludf.DUMMYFUNCTION("GOOGLEFINANCE(C424,""Marketcap"")"),146807189900)</f>
        <v>146807189900</v>
      </c>
      <c r="I424" s="9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4" x14ac:dyDescent="0.3">
      <c r="A425" s="6" t="s">
        <v>878</v>
      </c>
      <c r="B425" s="6" t="s">
        <v>100</v>
      </c>
      <c r="C425" s="7" t="s">
        <v>879</v>
      </c>
      <c r="D425" s="7" t="s">
        <v>13</v>
      </c>
      <c r="E425" s="8">
        <f ca="1">IFERROR(__xludf.DUMMYFUNCTION("GOOGLEFINANCE(C425,""Price"")"),273)</f>
        <v>273</v>
      </c>
      <c r="F425" s="9">
        <f ca="1">IFERROR(__xludf.DUMMYFUNCTION("GOOGLEFINANCE(C425,""change"")"),6.25)</f>
        <v>6.25</v>
      </c>
      <c r="G425" s="10">
        <f ca="1">IFERROR(__xludf.DUMMYFUNCTION("GOOGLEFINANCE(C425,""Changepct"")/100"),0.0233999999999999)</f>
        <v>2.33999999999999E-2</v>
      </c>
      <c r="H425" s="11">
        <f ca="1">IFERROR(__xludf.DUMMYFUNCTION("GOOGLEFINANCE(C425,""Marketcap"")"),39965671200)</f>
        <v>39965671200</v>
      </c>
      <c r="I425" s="9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4" x14ac:dyDescent="0.3">
      <c r="A426" s="6" t="s">
        <v>880</v>
      </c>
      <c r="B426" s="6" t="s">
        <v>82</v>
      </c>
      <c r="C426" s="7" t="s">
        <v>881</v>
      </c>
      <c r="D426" s="7" t="s">
        <v>13</v>
      </c>
      <c r="E426" s="8">
        <f ca="1">IFERROR(__xludf.DUMMYFUNCTION("GOOGLEFINANCE(C426,""Price"")"),253)</f>
        <v>253</v>
      </c>
      <c r="F426" s="9">
        <f ca="1">IFERROR(__xludf.DUMMYFUNCTION("GOOGLEFINANCE(C426,""change"")"),-2.45)</f>
        <v>-2.4500000000000002</v>
      </c>
      <c r="G426" s="10">
        <f ca="1">IFERROR(__xludf.DUMMYFUNCTION("GOOGLEFINANCE(C426,""Changepct"")/100"),-0.0096)</f>
        <v>-9.5999999999999992E-3</v>
      </c>
      <c r="H426" s="11">
        <f ca="1">IFERROR(__xludf.DUMMYFUNCTION("GOOGLEFINANCE(C426,""Marketcap"")"),35387717200)</f>
        <v>35387717200</v>
      </c>
      <c r="I426" s="9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4" x14ac:dyDescent="0.3">
      <c r="A427" s="6" t="s">
        <v>882</v>
      </c>
      <c r="B427" s="6" t="s">
        <v>15</v>
      </c>
      <c r="C427" s="7" t="s">
        <v>883</v>
      </c>
      <c r="D427" s="7" t="s">
        <v>13</v>
      </c>
      <c r="E427" s="8">
        <f ca="1">IFERROR(__xludf.DUMMYFUNCTION("GOOGLEFINANCE(C427,""Price"")"),2149.15)</f>
        <v>2149.15</v>
      </c>
      <c r="F427" s="9">
        <f ca="1">IFERROR(__xludf.DUMMYFUNCTION("GOOGLEFINANCE(C427,""change"")"),-60)</f>
        <v>-60</v>
      </c>
      <c r="G427" s="10">
        <f ca="1">IFERROR(__xludf.DUMMYFUNCTION("GOOGLEFINANCE(C427,""Changepct"")/100"),-0.0272)</f>
        <v>-2.7199999999999998E-2</v>
      </c>
      <c r="H427" s="11">
        <f ca="1">IFERROR(__xludf.DUMMYFUNCTION("GOOGLEFINANCE(C427,""Marketcap"")"),274170948293)</f>
        <v>274170948293</v>
      </c>
      <c r="I427" s="9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4" x14ac:dyDescent="0.3">
      <c r="A428" s="6" t="s">
        <v>884</v>
      </c>
      <c r="B428" s="6" t="s">
        <v>35</v>
      </c>
      <c r="C428" s="7" t="s">
        <v>885</v>
      </c>
      <c r="D428" s="7" t="s">
        <v>13</v>
      </c>
      <c r="E428" s="8">
        <f ca="1">IFERROR(__xludf.DUMMYFUNCTION("GOOGLEFINANCE(C428,""Price"")"),713.25)</f>
        <v>713.25</v>
      </c>
      <c r="F428" s="9">
        <f ca="1">IFERROR(__xludf.DUMMYFUNCTION("GOOGLEFINANCE(C428,""change"")"),8.3)</f>
        <v>8.3000000000000007</v>
      </c>
      <c r="G428" s="10">
        <f ca="1">IFERROR(__xludf.DUMMYFUNCTION("GOOGLEFINANCE(C428,""Changepct"")/100"),0.0118)</f>
        <v>1.18E-2</v>
      </c>
      <c r="H428" s="11">
        <f ca="1">IFERROR(__xludf.DUMMYFUNCTION("GOOGLEFINANCE(C428,""Marketcap"")"),66711480480)</f>
        <v>66711480480</v>
      </c>
      <c r="I428" s="9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4" x14ac:dyDescent="0.3">
      <c r="A429" s="6" t="s">
        <v>886</v>
      </c>
      <c r="B429" s="6" t="s">
        <v>32</v>
      </c>
      <c r="C429" s="7" t="s">
        <v>887</v>
      </c>
      <c r="D429" s="7" t="s">
        <v>13</v>
      </c>
      <c r="E429" s="8">
        <f ca="1">IFERROR(__xludf.DUMMYFUNCTION("GOOGLEFINANCE(C429,""Price"")"),525)</f>
        <v>525</v>
      </c>
      <c r="F429" s="9">
        <f ca="1">IFERROR(__xludf.DUMMYFUNCTION("GOOGLEFINANCE(C429,""change"")"),-5.05)</f>
        <v>-5.05</v>
      </c>
      <c r="G429" s="10">
        <f ca="1">IFERROR(__xludf.DUMMYFUNCTION("GOOGLEFINANCE(C429,""Changepct"")/100"),-0.0095)</f>
        <v>-9.4999999999999998E-3</v>
      </c>
      <c r="H429" s="11">
        <f ca="1">IFERROR(__xludf.DUMMYFUNCTION("GOOGLEFINANCE(C429,""Marketcap"")"),134932162871)</f>
        <v>134932162871</v>
      </c>
      <c r="I429" s="9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4" x14ac:dyDescent="0.3">
      <c r="A430" s="6" t="s">
        <v>888</v>
      </c>
      <c r="B430" s="6" t="s">
        <v>15</v>
      </c>
      <c r="C430" s="7" t="s">
        <v>889</v>
      </c>
      <c r="D430" s="7" t="s">
        <v>13</v>
      </c>
      <c r="E430" s="8">
        <f ca="1">IFERROR(__xludf.DUMMYFUNCTION("GOOGLEFINANCE(C430,""Price"")"),5.75)</f>
        <v>5.75</v>
      </c>
      <c r="F430" s="9">
        <f ca="1">IFERROR(__xludf.DUMMYFUNCTION("GOOGLEFINANCE(C430,""change"")"),-0.4)</f>
        <v>-0.4</v>
      </c>
      <c r="G430" s="10">
        <f ca="1">IFERROR(__xludf.DUMMYFUNCTION("GOOGLEFINANCE(C430,""Changepct"")/100"),-0.065)</f>
        <v>-6.5000000000000002E-2</v>
      </c>
      <c r="H430" s="11">
        <f ca="1">IFERROR(__xludf.DUMMYFUNCTION("GOOGLEFINANCE(C430,""Marketcap"")"),50359372914)</f>
        <v>50359372914</v>
      </c>
      <c r="I430" s="9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4" x14ac:dyDescent="0.3">
      <c r="A431" s="6" t="s">
        <v>890</v>
      </c>
      <c r="B431" s="6" t="s">
        <v>79</v>
      </c>
      <c r="C431" s="7" t="s">
        <v>891</v>
      </c>
      <c r="D431" s="7" t="s">
        <v>13</v>
      </c>
      <c r="E431" s="8">
        <f ca="1">IFERROR(__xludf.DUMMYFUNCTION("GOOGLEFINANCE(C431,""Price"")"),132.4)</f>
        <v>132.4</v>
      </c>
      <c r="F431" s="9">
        <f ca="1">IFERROR(__xludf.DUMMYFUNCTION("GOOGLEFINANCE(C431,""change"")"),0.8)</f>
        <v>0.8</v>
      </c>
      <c r="G431" s="10">
        <f ca="1">IFERROR(__xludf.DUMMYFUNCTION("GOOGLEFINANCE(C431,""Changepct"")/100"),0.00609999999999999)</f>
        <v>6.09999999999999E-3</v>
      </c>
      <c r="H431" s="11">
        <f ca="1">IFERROR(__xludf.DUMMYFUNCTION("GOOGLEFINANCE(C431,""Marketcap"")"),32339612069)</f>
        <v>32339612069</v>
      </c>
      <c r="I431" s="9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4" x14ac:dyDescent="0.3">
      <c r="A432" s="6" t="s">
        <v>892</v>
      </c>
      <c r="B432" s="6" t="s">
        <v>11</v>
      </c>
      <c r="C432" s="7" t="s">
        <v>893</v>
      </c>
      <c r="D432" s="7" t="s">
        <v>13</v>
      </c>
      <c r="E432" s="8">
        <f ca="1">IFERROR(__xludf.DUMMYFUNCTION("GOOGLEFINANCE(C432,""Price"")"),1097.95)</f>
        <v>1097.95</v>
      </c>
      <c r="F432" s="9">
        <f ca="1">IFERROR(__xludf.DUMMYFUNCTION("GOOGLEFINANCE(C432,""change"")"),-0.55)</f>
        <v>-0.55000000000000004</v>
      </c>
      <c r="G432" s="10">
        <f ca="1">IFERROR(__xludf.DUMMYFUNCTION("GOOGLEFINANCE(C432,""Changepct"")/100"),-0.0005)</f>
        <v>-5.0000000000000001E-4</v>
      </c>
      <c r="H432" s="11">
        <f ca="1">IFERROR(__xludf.DUMMYFUNCTION("GOOGLEFINANCE(C432,""Marketcap"")"),76809284734)</f>
        <v>76809284734</v>
      </c>
      <c r="I432" s="9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4" x14ac:dyDescent="0.3">
      <c r="A433" s="6" t="s">
        <v>894</v>
      </c>
      <c r="B433" s="6" t="s">
        <v>91</v>
      </c>
      <c r="C433" s="7" t="s">
        <v>895</v>
      </c>
      <c r="D433" s="7" t="s">
        <v>13</v>
      </c>
      <c r="E433" s="8">
        <f ca="1">IFERROR(__xludf.DUMMYFUNCTION("GOOGLEFINANCE(C433,""Price"")"),584)</f>
        <v>584</v>
      </c>
      <c r="F433" s="9">
        <f ca="1">IFERROR(__xludf.DUMMYFUNCTION("GOOGLEFINANCE(C433,""change"")"),-8.7)</f>
        <v>-8.6999999999999993</v>
      </c>
      <c r="G433" s="10">
        <f ca="1">IFERROR(__xludf.DUMMYFUNCTION("GOOGLEFINANCE(C433,""Changepct"")/100"),-0.0147)</f>
        <v>-1.47E-2</v>
      </c>
      <c r="H433" s="11">
        <f ca="1">IFERROR(__xludf.DUMMYFUNCTION("GOOGLEFINANCE(C433,""Marketcap"")"),232404668800)</f>
        <v>232404668800</v>
      </c>
      <c r="I433" s="9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4" x14ac:dyDescent="0.3">
      <c r="A434" s="6" t="s">
        <v>896</v>
      </c>
      <c r="B434" s="6" t="s">
        <v>47</v>
      </c>
      <c r="C434" s="7" t="s">
        <v>897</v>
      </c>
      <c r="D434" s="7" t="s">
        <v>13</v>
      </c>
      <c r="E434" s="8">
        <f ca="1">IFERROR(__xludf.DUMMYFUNCTION("GOOGLEFINANCE(C434,""Price"")"),919)</f>
        <v>919</v>
      </c>
      <c r="F434" s="9">
        <f ca="1">IFERROR(__xludf.DUMMYFUNCTION("GOOGLEFINANCE(C434,""change"")"),-27.1)</f>
        <v>-27.1</v>
      </c>
      <c r="G434" s="10">
        <f ca="1">IFERROR(__xludf.DUMMYFUNCTION("GOOGLEFINANCE(C434,""Changepct"")/100"),-0.0286)</f>
        <v>-2.86E-2</v>
      </c>
      <c r="H434" s="11">
        <f ca="1">IFERROR(__xludf.DUMMYFUNCTION("GOOGLEFINANCE(C434,""Marketcap"")"),35321323880)</f>
        <v>35321323880</v>
      </c>
      <c r="I434" s="9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4" x14ac:dyDescent="0.3">
      <c r="A435" s="6" t="s">
        <v>898</v>
      </c>
      <c r="B435" s="6" t="s">
        <v>79</v>
      </c>
      <c r="C435" s="7" t="s">
        <v>899</v>
      </c>
      <c r="D435" s="7" t="s">
        <v>13</v>
      </c>
      <c r="E435" s="8">
        <f ca="1">IFERROR(__xludf.DUMMYFUNCTION("GOOGLEFINANCE(C435,""Price"")"),511.15)</f>
        <v>511.15</v>
      </c>
      <c r="F435" s="9">
        <f ca="1">IFERROR(__xludf.DUMMYFUNCTION("GOOGLEFINANCE(C435,""change"")"),-13.8)</f>
        <v>-13.8</v>
      </c>
      <c r="G435" s="10">
        <f ca="1">IFERROR(__xludf.DUMMYFUNCTION("GOOGLEFINANCE(C435,""Changepct"")/100"),-0.0263)</f>
        <v>-2.63E-2</v>
      </c>
      <c r="H435" s="11">
        <f ca="1">IFERROR(__xludf.DUMMYFUNCTION("GOOGLEFINANCE(C435,""Marketcap"")"),31447225499)</f>
        <v>31447225499</v>
      </c>
      <c r="I435" s="9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4" x14ac:dyDescent="0.3">
      <c r="A436" s="6" t="s">
        <v>900</v>
      </c>
      <c r="B436" s="6" t="s">
        <v>11</v>
      </c>
      <c r="C436" s="7" t="s">
        <v>901</v>
      </c>
      <c r="D436" s="7" t="s">
        <v>13</v>
      </c>
      <c r="E436" s="8">
        <f ca="1">IFERROR(__xludf.DUMMYFUNCTION("GOOGLEFINANCE(C436,""Price"")"),7250)</f>
        <v>7250</v>
      </c>
      <c r="F436" s="9">
        <f ca="1">IFERROR(__xludf.DUMMYFUNCTION("GOOGLEFINANCE(C436,""change"")"),-5.15)</f>
        <v>-5.15</v>
      </c>
      <c r="G436" s="10">
        <f ca="1">IFERROR(__xludf.DUMMYFUNCTION("GOOGLEFINANCE(C436,""Changepct"")/100"),-0.0007)</f>
        <v>-6.9999999999999999E-4</v>
      </c>
      <c r="H436" s="11">
        <f ca="1">IFERROR(__xludf.DUMMYFUNCTION("GOOGLEFINANCE(C436,""Marketcap"")"),100495077500)</f>
        <v>100495077500</v>
      </c>
      <c r="I436" s="9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4" x14ac:dyDescent="0.3">
      <c r="A437" s="6" t="s">
        <v>902</v>
      </c>
      <c r="B437" s="6" t="s">
        <v>288</v>
      </c>
      <c r="C437" s="7" t="s">
        <v>903</v>
      </c>
      <c r="D437" s="7" t="s">
        <v>13</v>
      </c>
      <c r="E437" s="8">
        <f ca="1">IFERROR(__xludf.DUMMYFUNCTION("GOOGLEFINANCE(C437,""Price"")"),37.8)</f>
        <v>37.799999999999997</v>
      </c>
      <c r="F437" s="9">
        <f ca="1">IFERROR(__xludf.DUMMYFUNCTION("GOOGLEFINANCE(C437,""change"")"),-1.55)</f>
        <v>-1.55</v>
      </c>
      <c r="G437" s="10">
        <f ca="1">IFERROR(__xludf.DUMMYFUNCTION("GOOGLEFINANCE(C437,""Changepct"")/100"),-0.0394)</f>
        <v>-3.9399999999999998E-2</v>
      </c>
      <c r="H437" s="11">
        <f ca="1">IFERROR(__xludf.DUMMYFUNCTION("GOOGLEFINANCE(C437,""Marketcap"")"),64459933384)</f>
        <v>64459933384</v>
      </c>
      <c r="I437" s="9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4" x14ac:dyDescent="0.3">
      <c r="A438" s="6" t="s">
        <v>904</v>
      </c>
      <c r="B438" s="6" t="s">
        <v>82</v>
      </c>
      <c r="C438" s="7" t="s">
        <v>905</v>
      </c>
      <c r="D438" s="7" t="s">
        <v>22</v>
      </c>
      <c r="E438" s="8">
        <f ca="1">IFERROR(__xludf.DUMMYFUNCTION("GOOGLEFINANCE(C438,""Price"")"),614.85)</f>
        <v>614.85</v>
      </c>
      <c r="F438" s="9">
        <f ca="1">IFERROR(__xludf.DUMMYFUNCTION("GOOGLEFINANCE(C438,""change"")"),-9.45)</f>
        <v>-9.4499999999999993</v>
      </c>
      <c r="G438" s="10">
        <f ca="1">IFERROR(__xludf.DUMMYFUNCTION("GOOGLEFINANCE(C438,""Changepct"")/100"),-0.0151)</f>
        <v>-1.5100000000000001E-2</v>
      </c>
      <c r="H438" s="11">
        <f ca="1">IFERROR(__xludf.DUMMYFUNCTION("GOOGLEFINANCE(C438,""Marketcap"")"),291754092050)</f>
        <v>291754092050</v>
      </c>
      <c r="I438" s="9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4" x14ac:dyDescent="0.3">
      <c r="A439" s="6" t="s">
        <v>906</v>
      </c>
      <c r="B439" s="6" t="s">
        <v>64</v>
      </c>
      <c r="C439" s="7" t="s">
        <v>907</v>
      </c>
      <c r="D439" s="7" t="s">
        <v>13</v>
      </c>
      <c r="E439" s="8">
        <f ca="1">IFERROR(__xludf.DUMMYFUNCTION("GOOGLEFINANCE(C439,""Price"")"),870.05)</f>
        <v>870.05</v>
      </c>
      <c r="F439" s="9">
        <f ca="1">IFERROR(__xludf.DUMMYFUNCTION("GOOGLEFINANCE(C439,""change"")"),-2.4)</f>
        <v>-2.4</v>
      </c>
      <c r="G439" s="10">
        <f ca="1">IFERROR(__xludf.DUMMYFUNCTION("GOOGLEFINANCE(C439,""Changepct"")/100"),-0.0028)</f>
        <v>-2.8E-3</v>
      </c>
      <c r="H439" s="11">
        <f ca="1">IFERROR(__xludf.DUMMYFUNCTION("GOOGLEFINANCE(C439,""Marketcap"")"),118358468159)</f>
        <v>118358468159</v>
      </c>
      <c r="I439" s="9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4" x14ac:dyDescent="0.3">
      <c r="A440" s="6" t="s">
        <v>908</v>
      </c>
      <c r="B440" s="6" t="s">
        <v>11</v>
      </c>
      <c r="C440" s="7" t="s">
        <v>909</v>
      </c>
      <c r="D440" s="7" t="s">
        <v>13</v>
      </c>
      <c r="E440" s="8">
        <f ca="1">IFERROR(__xludf.DUMMYFUNCTION("GOOGLEFINANCE(C440,""Price"")"),16000)</f>
        <v>16000</v>
      </c>
      <c r="F440" s="9">
        <f ca="1">IFERROR(__xludf.DUMMYFUNCTION("GOOGLEFINANCE(C440,""change"")"),923.55)</f>
        <v>923.55</v>
      </c>
      <c r="G440" s="10">
        <f ca="1">IFERROR(__xludf.DUMMYFUNCTION("GOOGLEFINANCE(C440,""Changepct"")/100"),0.0613)</f>
        <v>6.13E-2</v>
      </c>
      <c r="H440" s="11">
        <f ca="1">IFERROR(__xludf.DUMMYFUNCTION("GOOGLEFINANCE(C440,""Marketcap"")"),40942064000)</f>
        <v>40942064000</v>
      </c>
      <c r="I440" s="9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4" x14ac:dyDescent="0.3">
      <c r="A441" s="6" t="s">
        <v>910</v>
      </c>
      <c r="B441" s="6" t="s">
        <v>35</v>
      </c>
      <c r="C441" s="7" t="s">
        <v>911</v>
      </c>
      <c r="D441" s="7" t="s">
        <v>22</v>
      </c>
      <c r="E441" s="8">
        <f ca="1">IFERROR(__xludf.DUMMYFUNCTION("GOOGLEFINANCE(C441,""Price"")"),722.3)</f>
        <v>722.3</v>
      </c>
      <c r="F441" s="9">
        <f ca="1">IFERROR(__xludf.DUMMYFUNCTION("GOOGLEFINANCE(C441,""change"")"),25.6)</f>
        <v>25.6</v>
      </c>
      <c r="G441" s="10">
        <f ca="1">IFERROR(__xludf.DUMMYFUNCTION("GOOGLEFINANCE(C441,""Changepct"")/100"),0.0366999999999999)</f>
        <v>3.6699999999999899E-2</v>
      </c>
      <c r="H441" s="11">
        <f ca="1">IFERROR(__xludf.DUMMYFUNCTION("GOOGLEFINANCE(C441,""Marketcap"")"),183996769076)</f>
        <v>183996769076</v>
      </c>
      <c r="I441" s="9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4" x14ac:dyDescent="0.3">
      <c r="A442" s="6" t="s">
        <v>912</v>
      </c>
      <c r="B442" s="6" t="s">
        <v>11</v>
      </c>
      <c r="C442" s="7" t="s">
        <v>913</v>
      </c>
      <c r="D442" s="7" t="s">
        <v>13</v>
      </c>
      <c r="E442" s="8">
        <f ca="1">IFERROR(__xludf.DUMMYFUNCTION("GOOGLEFINANCE(C442,""Price"")"),165.5)</f>
        <v>165.5</v>
      </c>
      <c r="F442" s="9">
        <f ca="1">IFERROR(__xludf.DUMMYFUNCTION("GOOGLEFINANCE(C442,""change"")"),-6.9)</f>
        <v>-6.9</v>
      </c>
      <c r="G442" s="10">
        <f ca="1">IFERROR(__xludf.DUMMYFUNCTION("GOOGLEFINANCE(C442,""Changepct"")/100"),-0.04)</f>
        <v>-0.04</v>
      </c>
      <c r="H442" s="11">
        <f ca="1">IFERROR(__xludf.DUMMYFUNCTION("GOOGLEFINANCE(C442,""Marketcap"")"),30579411601)</f>
        <v>30579411601</v>
      </c>
      <c r="I442" s="9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4" x14ac:dyDescent="0.3">
      <c r="A443" s="6" t="s">
        <v>914</v>
      </c>
      <c r="B443" s="6" t="s">
        <v>174</v>
      </c>
      <c r="C443" s="7" t="s">
        <v>915</v>
      </c>
      <c r="D443" s="7" t="s">
        <v>13</v>
      </c>
      <c r="E443" s="8">
        <f ca="1">IFERROR(__xludf.DUMMYFUNCTION("GOOGLEFINANCE(C443,""Price"")"),1082.05)</f>
        <v>1082.05</v>
      </c>
      <c r="F443" s="9">
        <f ca="1">IFERROR(__xludf.DUMMYFUNCTION("GOOGLEFINANCE(C443,""change"")"),2.3)</f>
        <v>2.2999999999999998</v>
      </c>
      <c r="G443" s="10">
        <f ca="1">IFERROR(__xludf.DUMMYFUNCTION("GOOGLEFINANCE(C443,""Changepct"")/100"),0.0021)</f>
        <v>2.0999999999999999E-3</v>
      </c>
      <c r="H443" s="11">
        <f ca="1">IFERROR(__xludf.DUMMYFUNCTION("GOOGLEFINANCE(C443,""Marketcap"")"),309010511290)</f>
        <v>309010511290</v>
      </c>
      <c r="I443" s="9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4" x14ac:dyDescent="0.3">
      <c r="A444" s="6" t="s">
        <v>916</v>
      </c>
      <c r="B444" s="6" t="s">
        <v>64</v>
      </c>
      <c r="C444" s="7" t="s">
        <v>917</v>
      </c>
      <c r="D444" s="7" t="s">
        <v>22</v>
      </c>
      <c r="E444" s="8">
        <f ca="1">IFERROR(__xludf.DUMMYFUNCTION("GOOGLEFINANCE(C444,""Price"")"),3085.5)</f>
        <v>3085.5</v>
      </c>
      <c r="F444" s="9">
        <f ca="1">IFERROR(__xludf.DUMMYFUNCTION("GOOGLEFINANCE(C444,""change"")"),-37.1)</f>
        <v>-37.1</v>
      </c>
      <c r="G444" s="10">
        <f ca="1">IFERROR(__xludf.DUMMYFUNCTION("GOOGLEFINANCE(C444,""Changepct"")/100"),-0.0118999999999999)</f>
        <v>-1.18999999999999E-2</v>
      </c>
      <c r="H444" s="11">
        <f ca="1">IFERROR(__xludf.DUMMYFUNCTION("GOOGLEFINANCE(C444,""Marketcap"")"),11422326178500)</f>
        <v>11422326178500</v>
      </c>
      <c r="I444" s="9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4" x14ac:dyDescent="0.3">
      <c r="A445" s="6" t="s">
        <v>918</v>
      </c>
      <c r="B445" s="6" t="s">
        <v>11</v>
      </c>
      <c r="C445" s="7" t="s">
        <v>919</v>
      </c>
      <c r="D445" s="7" t="s">
        <v>22</v>
      </c>
      <c r="E445" s="8">
        <f ca="1">IFERROR(__xludf.DUMMYFUNCTION("GOOGLEFINANCE(C445,""Price"")"),639.65)</f>
        <v>639.65</v>
      </c>
      <c r="F445" s="9">
        <f ca="1">IFERROR(__xludf.DUMMYFUNCTION("GOOGLEFINANCE(C445,""change"")"),-1.95)</f>
        <v>-1.95</v>
      </c>
      <c r="G445" s="10">
        <f ca="1">IFERROR(__xludf.DUMMYFUNCTION("GOOGLEFINANCE(C445,""Changepct"")/100"),-0.003)</f>
        <v>-3.0000000000000001E-3</v>
      </c>
      <c r="H445" s="11">
        <f ca="1">IFERROR(__xludf.DUMMYFUNCTION("GOOGLEFINANCE(C445,""Marketcap"")"),589287045405)</f>
        <v>589287045405</v>
      </c>
      <c r="I445" s="9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4" x14ac:dyDescent="0.3">
      <c r="A446" s="6" t="s">
        <v>920</v>
      </c>
      <c r="B446" s="6" t="s">
        <v>64</v>
      </c>
      <c r="C446" s="7" t="s">
        <v>921</v>
      </c>
      <c r="D446" s="7" t="s">
        <v>13</v>
      </c>
      <c r="E446" s="8">
        <f ca="1">IFERROR(__xludf.DUMMYFUNCTION("GOOGLEFINANCE(C446,""Price"")"),3517)</f>
        <v>3517</v>
      </c>
      <c r="F446" s="9">
        <f ca="1">IFERROR(__xludf.DUMMYFUNCTION("GOOGLEFINANCE(C446,""change"")"),0.8)</f>
        <v>0.8</v>
      </c>
      <c r="G446" s="10">
        <f ca="1">IFERROR(__xludf.DUMMYFUNCTION("GOOGLEFINANCE(C446,""Changepct"")/100"),0.0002)</f>
        <v>2.0000000000000001E-4</v>
      </c>
      <c r="H446" s="11">
        <f ca="1">IFERROR(__xludf.DUMMYFUNCTION("GOOGLEFINANCE(C446,""Marketcap"")"),219234708840)</f>
        <v>219234708840</v>
      </c>
      <c r="I446" s="9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4" x14ac:dyDescent="0.3">
      <c r="A447" s="6" t="s">
        <v>922</v>
      </c>
      <c r="B447" s="6" t="s">
        <v>29</v>
      </c>
      <c r="C447" s="7" t="s">
        <v>923</v>
      </c>
      <c r="D447" s="7" t="s">
        <v>13</v>
      </c>
      <c r="E447" s="8">
        <f ca="1">IFERROR(__xludf.DUMMYFUNCTION("GOOGLEFINANCE(C447,""Price"")"),1085.5)</f>
        <v>1085.5</v>
      </c>
      <c r="F447" s="9">
        <f ca="1">IFERROR(__xludf.DUMMYFUNCTION("GOOGLEFINANCE(C447,""change"")"),18.6)</f>
        <v>18.600000000000001</v>
      </c>
      <c r="G447" s="10">
        <f ca="1">IFERROR(__xludf.DUMMYFUNCTION("GOOGLEFINANCE(C447,""Changepct"")/100"),0.0174)</f>
        <v>1.7399999999999999E-2</v>
      </c>
      <c r="H447" s="11">
        <f ca="1">IFERROR(__xludf.DUMMYFUNCTION("GOOGLEFINANCE(C447,""Marketcap"")"),54921187295)</f>
        <v>54921187295</v>
      </c>
      <c r="I447" s="9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4" x14ac:dyDescent="0.3">
      <c r="A448" s="6" t="s">
        <v>924</v>
      </c>
      <c r="B448" s="6" t="s">
        <v>82</v>
      </c>
      <c r="C448" s="7" t="s">
        <v>925</v>
      </c>
      <c r="D448" s="7" t="s">
        <v>13</v>
      </c>
      <c r="E448" s="8">
        <f ca="1">IFERROR(__xludf.DUMMYFUNCTION("GOOGLEFINANCE(C448,""Price"")"),147.95)</f>
        <v>147.94999999999999</v>
      </c>
      <c r="F448" s="9">
        <f ca="1">IFERROR(__xludf.DUMMYFUNCTION("GOOGLEFINANCE(C448,""change"")"),1)</f>
        <v>1</v>
      </c>
      <c r="G448" s="10">
        <f ca="1">IFERROR(__xludf.DUMMYFUNCTION("GOOGLEFINANCE(C448,""Changepct"")/100"),0.0068)</f>
        <v>6.7999999999999996E-3</v>
      </c>
      <c r="H448" s="11">
        <f ca="1">IFERROR(__xludf.DUMMYFUNCTION("GOOGLEFINANCE(C448,""Marketcap"")"),15317578306)</f>
        <v>15317578306</v>
      </c>
      <c r="I448" s="9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4" x14ac:dyDescent="0.3">
      <c r="A449" s="6" t="s">
        <v>926</v>
      </c>
      <c r="B449" s="6" t="s">
        <v>82</v>
      </c>
      <c r="C449" s="7" t="s">
        <v>927</v>
      </c>
      <c r="D449" s="7" t="s">
        <v>22</v>
      </c>
      <c r="E449" s="8">
        <f ca="1">IFERROR(__xludf.DUMMYFUNCTION("GOOGLEFINANCE(C449,""Price"")"),325.55)</f>
        <v>325.55</v>
      </c>
      <c r="F449" s="9">
        <f ca="1">IFERROR(__xludf.DUMMYFUNCTION("GOOGLEFINANCE(C449,""change"")"),10)</f>
        <v>10</v>
      </c>
      <c r="G449" s="10">
        <f ca="1">IFERROR(__xludf.DUMMYFUNCTION("GOOGLEFINANCE(C449,""Changepct"")/100"),0.0317)</f>
        <v>3.1699999999999999E-2</v>
      </c>
      <c r="H449" s="11">
        <f ca="1">IFERROR(__xludf.DUMMYFUNCTION("GOOGLEFINANCE(C449,""Marketcap"")"),15317578306)</f>
        <v>15317578306</v>
      </c>
      <c r="I449" s="9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4" x14ac:dyDescent="0.3">
      <c r="A450" s="6" t="s">
        <v>928</v>
      </c>
      <c r="B450" s="6" t="s">
        <v>44</v>
      </c>
      <c r="C450" s="7" t="s">
        <v>929</v>
      </c>
      <c r="D450" s="7" t="s">
        <v>22</v>
      </c>
      <c r="E450" s="8">
        <f ca="1">IFERROR(__xludf.DUMMYFUNCTION("GOOGLEFINANCE(C450,""Price"")"),107.6)</f>
        <v>107.6</v>
      </c>
      <c r="F450" s="9">
        <f ca="1">IFERROR(__xludf.DUMMYFUNCTION("GOOGLEFINANCE(C450,""change"")"),-1.75)</f>
        <v>-1.75</v>
      </c>
      <c r="G450" s="10">
        <f ca="1">IFERROR(__xludf.DUMMYFUNCTION("GOOGLEFINANCE(C450,""Changepct"")/100"),-0.016)</f>
        <v>-1.6E-2</v>
      </c>
      <c r="H450" s="11">
        <f ca="1">IFERROR(__xludf.DUMMYFUNCTION("GOOGLEFINANCE(C450,""Marketcap"")"),340775038960)</f>
        <v>340775038960</v>
      </c>
      <c r="I450" s="9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4" x14ac:dyDescent="0.3">
      <c r="A451" s="6" t="s">
        <v>930</v>
      </c>
      <c r="B451" s="6" t="s">
        <v>26</v>
      </c>
      <c r="C451" s="7" t="s">
        <v>931</v>
      </c>
      <c r="D451" s="7" t="s">
        <v>22</v>
      </c>
      <c r="E451" s="8">
        <f ca="1">IFERROR(__xludf.DUMMYFUNCTION("GOOGLEFINANCE(C451,""Price"")"),1175)</f>
        <v>1175</v>
      </c>
      <c r="F451" s="9">
        <f ca="1">IFERROR(__xludf.DUMMYFUNCTION("GOOGLEFINANCE(C451,""change"")"),-58.9)</f>
        <v>-58.9</v>
      </c>
      <c r="G451" s="10">
        <f ca="1">IFERROR(__xludf.DUMMYFUNCTION("GOOGLEFINANCE(C451,""Changepct"")/100"),-0.0476999999999999)</f>
        <v>-4.7699999999999902E-2</v>
      </c>
      <c r="H451" s="11">
        <f ca="1">IFERROR(__xludf.DUMMYFUNCTION("GOOGLEFINANCE(C451,""Marketcap"")"),1411934330496)</f>
        <v>1411934330496</v>
      </c>
      <c r="I451" s="9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4" x14ac:dyDescent="0.3">
      <c r="A452" s="6" t="s">
        <v>932</v>
      </c>
      <c r="B452" s="6" t="s">
        <v>47</v>
      </c>
      <c r="C452" s="7" t="s">
        <v>933</v>
      </c>
      <c r="D452" s="7" t="s">
        <v>13</v>
      </c>
      <c r="E452" s="8">
        <f ca="1">IFERROR(__xludf.DUMMYFUNCTION("GOOGLEFINANCE(C452,""Price"")"),3170)</f>
        <v>3170</v>
      </c>
      <c r="F452" s="9">
        <f ca="1">IFERROR(__xludf.DUMMYFUNCTION("GOOGLEFINANCE(C452,""change"")"),-64.6)</f>
        <v>-64.599999999999994</v>
      </c>
      <c r="G452" s="10">
        <f ca="1">IFERROR(__xludf.DUMMYFUNCTION("GOOGLEFINANCE(C452,""Changepct"")/100"),-0.02)</f>
        <v>-0.02</v>
      </c>
      <c r="H452" s="11">
        <f ca="1">IFERROR(__xludf.DUMMYFUNCTION("GOOGLEFINANCE(C452,""Marketcap"")"),54139193700)</f>
        <v>54139193700</v>
      </c>
      <c r="I452" s="9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4" x14ac:dyDescent="0.3">
      <c r="A453" s="6" t="s">
        <v>934</v>
      </c>
      <c r="B453" s="6" t="s">
        <v>64</v>
      </c>
      <c r="C453" s="7" t="s">
        <v>935</v>
      </c>
      <c r="D453" s="7" t="s">
        <v>22</v>
      </c>
      <c r="E453" s="8">
        <f ca="1">IFERROR(__xludf.DUMMYFUNCTION("GOOGLEFINANCE(C453,""Price"")"),961.9)</f>
        <v>961.9</v>
      </c>
      <c r="F453" s="9">
        <f ca="1">IFERROR(__xludf.DUMMYFUNCTION("GOOGLEFINANCE(C453,""change"")"),-15.15)</f>
        <v>-15.15</v>
      </c>
      <c r="G453" s="10">
        <f ca="1">IFERROR(__xludf.DUMMYFUNCTION("GOOGLEFINANCE(C453,""Changepct"")/100"),-0.0155)</f>
        <v>-1.55E-2</v>
      </c>
      <c r="H453" s="11">
        <f ca="1">IFERROR(__xludf.DUMMYFUNCTION("GOOGLEFINANCE(C453,""Marketcap"")"),932475570397)</f>
        <v>932475570397</v>
      </c>
      <c r="I453" s="9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4" x14ac:dyDescent="0.3">
      <c r="A454" s="6" t="s">
        <v>936</v>
      </c>
      <c r="B454" s="6" t="s">
        <v>29</v>
      </c>
      <c r="C454" s="7" t="s">
        <v>937</v>
      </c>
      <c r="D454" s="7" t="s">
        <v>13</v>
      </c>
      <c r="E454" s="8">
        <f ca="1">IFERROR(__xludf.DUMMYFUNCTION("GOOGLEFINANCE(C454,""Price"")"),154)</f>
        <v>154</v>
      </c>
      <c r="F454" s="9">
        <f ca="1">IFERROR(__xludf.DUMMYFUNCTION("GOOGLEFINANCE(C454,""change"")"),-3)</f>
        <v>-3</v>
      </c>
      <c r="G454" s="10">
        <f ca="1">IFERROR(__xludf.DUMMYFUNCTION("GOOGLEFINANCE(C454,""Changepct"")/100"),-0.0191)</f>
        <v>-1.9099999999999999E-2</v>
      </c>
      <c r="H454" s="11">
        <f ca="1">IFERROR(__xludf.DUMMYFUNCTION("GOOGLEFINANCE(C454,""Marketcap"")"),253792000000)</f>
        <v>253792000000</v>
      </c>
      <c r="I454" s="9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4" x14ac:dyDescent="0.3">
      <c r="A455" s="6" t="s">
        <v>938</v>
      </c>
      <c r="B455" s="6" t="s">
        <v>20</v>
      </c>
      <c r="C455" s="7" t="s">
        <v>939</v>
      </c>
      <c r="D455" s="7" t="s">
        <v>22</v>
      </c>
      <c r="E455" s="8">
        <f ca="1">IFERROR(__xludf.DUMMYFUNCTION("GOOGLEFINANCE(C455,""Price"")"),933)</f>
        <v>933</v>
      </c>
      <c r="F455" s="9">
        <f ca="1">IFERROR(__xludf.DUMMYFUNCTION("GOOGLEFINANCE(C455,""change"")"),-4.9)</f>
        <v>-4.9000000000000004</v>
      </c>
      <c r="G455" s="10">
        <f ca="1">IFERROR(__xludf.DUMMYFUNCTION("GOOGLEFINANCE(C455,""Changepct"")/100"),-0.0052)</f>
        <v>-5.1999999999999998E-3</v>
      </c>
      <c r="H455" s="11">
        <f ca="1">IFERROR(__xludf.DUMMYFUNCTION("GOOGLEFINANCE(C455,""Marketcap"")"),219590128800)</f>
        <v>219590128800</v>
      </c>
      <c r="I455" s="9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4" x14ac:dyDescent="0.3">
      <c r="A456" s="6" t="s">
        <v>940</v>
      </c>
      <c r="B456" s="6" t="s">
        <v>15</v>
      </c>
      <c r="C456" s="7" t="s">
        <v>941</v>
      </c>
      <c r="D456" s="7" t="s">
        <v>13</v>
      </c>
      <c r="E456" s="8">
        <f ca="1">IFERROR(__xludf.DUMMYFUNCTION("GOOGLEFINANCE(C456,""Price"")"),1411.9)</f>
        <v>1411.9</v>
      </c>
      <c r="F456" s="9">
        <f ca="1">IFERROR(__xludf.DUMMYFUNCTION("GOOGLEFINANCE(C456,""change"")"),-78.45)</f>
        <v>-78.45</v>
      </c>
      <c r="G456" s="10">
        <f ca="1">IFERROR(__xludf.DUMMYFUNCTION("GOOGLEFINANCE(C456,""Changepct"")/100"),-0.0526)</f>
        <v>-5.2600000000000001E-2</v>
      </c>
      <c r="H456" s="11">
        <f ca="1">IFERROR(__xludf.DUMMYFUNCTION("GOOGLEFINANCE(C456,""Marketcap"")"),158434470885)</f>
        <v>158434470885</v>
      </c>
      <c r="I456" s="9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4" x14ac:dyDescent="0.3">
      <c r="A457" s="6" t="s">
        <v>942</v>
      </c>
      <c r="B457" s="6" t="s">
        <v>91</v>
      </c>
      <c r="C457" s="7" t="s">
        <v>943</v>
      </c>
      <c r="D457" s="7" t="s">
        <v>13</v>
      </c>
      <c r="E457" s="8">
        <f ca="1">IFERROR(__xludf.DUMMYFUNCTION("GOOGLEFINANCE(C457,""Price"")"),1034.5)</f>
        <v>1034.5</v>
      </c>
      <c r="F457" s="9">
        <f ca="1">IFERROR(__xludf.DUMMYFUNCTION("GOOGLEFINANCE(C457,""change"")"),-29.9)</f>
        <v>-29.9</v>
      </c>
      <c r="G457" s="10">
        <f ca="1">IFERROR(__xludf.DUMMYFUNCTION("GOOGLEFINANCE(C457,""Changepct"")/100"),-0.0281)</f>
        <v>-2.81E-2</v>
      </c>
      <c r="H457" s="11">
        <f ca="1">IFERROR(__xludf.DUMMYFUNCTION("GOOGLEFINANCE(C457,""Marketcap"")"),54555112476)</f>
        <v>54555112476</v>
      </c>
      <c r="I457" s="9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4" x14ac:dyDescent="0.3">
      <c r="A458" s="6" t="s">
        <v>944</v>
      </c>
      <c r="B458" s="6" t="s">
        <v>15</v>
      </c>
      <c r="C458" s="7" t="s">
        <v>945</v>
      </c>
      <c r="D458" s="7" t="s">
        <v>13</v>
      </c>
      <c r="E458" s="8">
        <f ca="1">IFERROR(__xludf.DUMMYFUNCTION("GOOGLEFINANCE(C458,""Price"")"),1319)</f>
        <v>1319</v>
      </c>
      <c r="F458" s="9">
        <f ca="1">IFERROR(__xludf.DUMMYFUNCTION("GOOGLEFINANCE(C458,""change"")"),-15.55)</f>
        <v>-15.55</v>
      </c>
      <c r="G458" s="10">
        <f ca="1">IFERROR(__xludf.DUMMYFUNCTION("GOOGLEFINANCE(C458,""Changepct"")/100"),-0.0116999999999999)</f>
        <v>-1.16999999999999E-2</v>
      </c>
      <c r="H458" s="11">
        <f ca="1">IFERROR(__xludf.DUMMYFUNCTION("GOOGLEFINANCE(C458,""Marketcap"")"),101671024500)</f>
        <v>101671024500</v>
      </c>
      <c r="I458" s="9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4" x14ac:dyDescent="0.3">
      <c r="A459" s="6" t="s">
        <v>946</v>
      </c>
      <c r="B459" s="6" t="s">
        <v>11</v>
      </c>
      <c r="C459" s="7" t="s">
        <v>947</v>
      </c>
      <c r="D459" s="7" t="s">
        <v>22</v>
      </c>
      <c r="E459" s="8">
        <f ca="1">IFERROR(__xludf.DUMMYFUNCTION("GOOGLEFINANCE(C459,""Price"")"),1458.5)</f>
        <v>1458.5</v>
      </c>
      <c r="F459" s="9">
        <f ca="1">IFERROR(__xludf.DUMMYFUNCTION("GOOGLEFINANCE(C459,""change"")"),23.25)</f>
        <v>23.25</v>
      </c>
      <c r="G459" s="10">
        <f ca="1">IFERROR(__xludf.DUMMYFUNCTION("GOOGLEFINANCE(C459,""Changepct"")/100"),0.0162)</f>
        <v>1.6199999999999999E-2</v>
      </c>
      <c r="H459" s="11">
        <f ca="1">IFERROR(__xludf.DUMMYFUNCTION("GOOGLEFINANCE(C459,""Marketcap"")"),1290921624167)</f>
        <v>1290921624167</v>
      </c>
      <c r="I459" s="9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4" x14ac:dyDescent="0.3">
      <c r="A460" s="6" t="s">
        <v>948</v>
      </c>
      <c r="B460" s="6" t="s">
        <v>32</v>
      </c>
      <c r="C460" s="7" t="s">
        <v>949</v>
      </c>
      <c r="D460" s="7" t="s">
        <v>22</v>
      </c>
      <c r="E460" s="8">
        <f ca="1">IFERROR(__xludf.DUMMYFUNCTION("GOOGLEFINANCE(C460,""Price"")"),2725)</f>
        <v>2725</v>
      </c>
      <c r="F460" s="9">
        <f ca="1">IFERROR(__xludf.DUMMYFUNCTION("GOOGLEFINANCE(C460,""change"")"),10.55)</f>
        <v>10.55</v>
      </c>
      <c r="G460" s="10">
        <f ca="1">IFERROR(__xludf.DUMMYFUNCTION("GOOGLEFINANCE(C460,""Changepct"")/100"),0.0039)</f>
        <v>3.8999999999999998E-3</v>
      </c>
      <c r="H460" s="11">
        <f ca="1">IFERROR(__xludf.DUMMYFUNCTION("GOOGLEFINANCE(C460,""Marketcap"")"),461131857500)</f>
        <v>461131857500</v>
      </c>
      <c r="I460" s="9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4" x14ac:dyDescent="0.3">
      <c r="A461" s="6" t="s">
        <v>950</v>
      </c>
      <c r="B461" s="6" t="s">
        <v>44</v>
      </c>
      <c r="C461" s="7" t="s">
        <v>951</v>
      </c>
      <c r="D461" s="7" t="s">
        <v>22</v>
      </c>
      <c r="E461" s="8">
        <f ca="1">IFERROR(__xludf.DUMMYFUNCTION("GOOGLEFINANCE(C461,""Price"")"),438.95)</f>
        <v>438.95</v>
      </c>
      <c r="F461" s="9">
        <f ca="1">IFERROR(__xludf.DUMMYFUNCTION("GOOGLEFINANCE(C461,""change"")"),-0.05)</f>
        <v>-0.05</v>
      </c>
      <c r="G461" s="10">
        <f ca="1">IFERROR(__xludf.DUMMYFUNCTION("GOOGLEFINANCE(C461,""Changepct"")/100"),-0.0001)</f>
        <v>-1E-4</v>
      </c>
      <c r="H461" s="11">
        <f ca="1">IFERROR(__xludf.DUMMYFUNCTION("GOOGLEFINANCE(C461,""Marketcap"")"),210966750226)</f>
        <v>210966750226</v>
      </c>
      <c r="I461" s="9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4" x14ac:dyDescent="0.3">
      <c r="A462" s="6" t="s">
        <v>952</v>
      </c>
      <c r="B462" s="6" t="s">
        <v>57</v>
      </c>
      <c r="C462" s="7" t="s">
        <v>953</v>
      </c>
      <c r="D462" s="7" t="s">
        <v>22</v>
      </c>
      <c r="E462" s="8">
        <f ca="1">IFERROR(__xludf.DUMMYFUNCTION("GOOGLEFINANCE(C462,""Price"")"),765)</f>
        <v>765</v>
      </c>
      <c r="F462" s="9">
        <f ca="1">IFERROR(__xludf.DUMMYFUNCTION("GOOGLEFINANCE(C462,""change"")"),1.8)</f>
        <v>1.8</v>
      </c>
      <c r="G462" s="10">
        <f ca="1">IFERROR(__xludf.DUMMYFUNCTION("GOOGLEFINANCE(C462,""Changepct"")/100"),0.0024)</f>
        <v>2.3999999999999998E-3</v>
      </c>
      <c r="H462" s="11">
        <f ca="1">IFERROR(__xludf.DUMMYFUNCTION("GOOGLEFINANCE(C462,""Marketcap"")"),273208060800)</f>
        <v>273208060800</v>
      </c>
      <c r="I462" s="9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4" x14ac:dyDescent="0.3">
      <c r="A463" s="6" t="s">
        <v>954</v>
      </c>
      <c r="B463" s="6" t="s">
        <v>79</v>
      </c>
      <c r="C463" s="7" t="s">
        <v>955</v>
      </c>
      <c r="D463" s="7" t="s">
        <v>13</v>
      </c>
      <c r="E463" s="8">
        <f ca="1">IFERROR(__xludf.DUMMYFUNCTION("GOOGLEFINANCE(C463,""Price"")"),17.5)</f>
        <v>17.5</v>
      </c>
      <c r="F463" s="9">
        <f ca="1">IFERROR(__xludf.DUMMYFUNCTION("GOOGLEFINANCE(C463,""change"")"),-0.9)</f>
        <v>-0.9</v>
      </c>
      <c r="G463" s="10">
        <f ca="1">IFERROR(__xludf.DUMMYFUNCTION("GOOGLEFINANCE(C463,""Changepct"")/100"),-0.0489)</f>
        <v>-4.8899999999999999E-2</v>
      </c>
      <c r="H463" s="11">
        <f ca="1">IFERROR(__xludf.DUMMYFUNCTION("GOOGLEFINANCE(C463,""Marketcap"")"),87341755901)</f>
        <v>87341755901</v>
      </c>
      <c r="I463" s="9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4" x14ac:dyDescent="0.3">
      <c r="A464" s="6" t="s">
        <v>956</v>
      </c>
      <c r="B464" s="6" t="s">
        <v>15</v>
      </c>
      <c r="C464" s="7" t="s">
        <v>957</v>
      </c>
      <c r="D464" s="7" t="s">
        <v>13</v>
      </c>
      <c r="E464" s="8">
        <f ca="1">IFERROR(__xludf.DUMMYFUNCTION("GOOGLEFINANCE(C464,""Price"")"),97.2)</f>
        <v>97.2</v>
      </c>
      <c r="F464" s="9">
        <f ca="1">IFERROR(__xludf.DUMMYFUNCTION("GOOGLEFINANCE(C464,""change"")"),-3.2)</f>
        <v>-3.2</v>
      </c>
      <c r="G464" s="10">
        <f ca="1">IFERROR(__xludf.DUMMYFUNCTION("GOOGLEFINANCE(C464,""Changepct"")/100"),-0.0319)</f>
        <v>-3.1899999999999998E-2</v>
      </c>
      <c r="H464" s="11">
        <f ca="1">IFERROR(__xludf.DUMMYFUNCTION("GOOGLEFINANCE(C464,""Marketcap"")"),31313840700)</f>
        <v>31313840700</v>
      </c>
      <c r="I464" s="9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4" x14ac:dyDescent="0.3">
      <c r="A465" s="6" t="s">
        <v>958</v>
      </c>
      <c r="B465" s="6" t="s">
        <v>82</v>
      </c>
      <c r="C465" s="7" t="s">
        <v>959</v>
      </c>
      <c r="D465" s="7" t="s">
        <v>13</v>
      </c>
      <c r="E465" s="8">
        <f ca="1">IFERROR(__xludf.DUMMYFUNCTION("GOOGLEFINANCE(C465,""Price"")"),1206)</f>
        <v>1206</v>
      </c>
      <c r="F465" s="9">
        <f ca="1">IFERROR(__xludf.DUMMYFUNCTION("GOOGLEFINANCE(C465,""change"")"),0.9)</f>
        <v>0.9</v>
      </c>
      <c r="G465" s="10">
        <f ca="1">IFERROR(__xludf.DUMMYFUNCTION("GOOGLEFINANCE(C465,""Changepct"")/100"),0.0007)</f>
        <v>6.9999999999999999E-4</v>
      </c>
      <c r="H465" s="11">
        <f ca="1">IFERROR(__xludf.DUMMYFUNCTION("GOOGLEFINANCE(C465,""Marketcap"")"),232537060800)</f>
        <v>232537060800</v>
      </c>
      <c r="I465" s="9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4" x14ac:dyDescent="0.3">
      <c r="A466" s="6" t="s">
        <v>960</v>
      </c>
      <c r="B466" s="6" t="s">
        <v>29</v>
      </c>
      <c r="C466" s="7" t="s">
        <v>961</v>
      </c>
      <c r="D466" s="7" t="s">
        <v>13</v>
      </c>
      <c r="E466" s="8">
        <f ca="1">IFERROR(__xludf.DUMMYFUNCTION("GOOGLEFINANCE(C466,""Price"")"),12.7)</f>
        <v>12.7</v>
      </c>
      <c r="F466" s="9">
        <f ca="1">IFERROR(__xludf.DUMMYFUNCTION("GOOGLEFINANCE(C466,""change"")"),1)</f>
        <v>1</v>
      </c>
      <c r="G466" s="10">
        <f ca="1">IFERROR(__xludf.DUMMYFUNCTION("GOOGLEFINANCE(C466,""Changepct"")/100"),0.0855)</f>
        <v>8.5500000000000007E-2</v>
      </c>
      <c r="H466" s="11">
        <f ca="1">IFERROR(__xludf.DUMMYFUNCTION("GOOGLEFINANCE(C466,""Marketcap"")"),125423947184)</f>
        <v>125423947184</v>
      </c>
      <c r="I466" s="9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4" x14ac:dyDescent="0.3">
      <c r="A467" s="6" t="s">
        <v>962</v>
      </c>
      <c r="B467" s="6" t="s">
        <v>15</v>
      </c>
      <c r="C467" s="7" t="s">
        <v>963</v>
      </c>
      <c r="D467" s="7" t="s">
        <v>13</v>
      </c>
      <c r="E467" s="8">
        <f ca="1">IFERROR(__xludf.DUMMYFUNCTION("GOOGLEFINANCE(C467,""Price"")"),426.2)</f>
        <v>426.2</v>
      </c>
      <c r="F467" s="9">
        <f ca="1">IFERROR(__xludf.DUMMYFUNCTION("GOOGLEFINANCE(C467,""change"")"),-12.1)</f>
        <v>-12.1</v>
      </c>
      <c r="G467" s="10">
        <f ca="1">IFERROR(__xludf.DUMMYFUNCTION("GOOGLEFINANCE(C467,""Changepct"")/100"),-0.0276)</f>
        <v>-2.76E-2</v>
      </c>
      <c r="H467" s="11">
        <f ca="1">IFERROR(__xludf.DUMMYFUNCTION("GOOGLEFINANCE(C467,""Marketcap"")"),30963808505)</f>
        <v>30963808505</v>
      </c>
      <c r="I467" s="9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4" x14ac:dyDescent="0.3">
      <c r="A468" s="6" t="s">
        <v>964</v>
      </c>
      <c r="B468" s="6" t="s">
        <v>157</v>
      </c>
      <c r="C468" s="7" t="s">
        <v>965</v>
      </c>
      <c r="D468" s="7" t="s">
        <v>22</v>
      </c>
      <c r="E468" s="8">
        <f ca="1">IFERROR(__xludf.DUMMYFUNCTION("GOOGLEFINANCE(C468,""Price"")"),689.95)</f>
        <v>689.95</v>
      </c>
      <c r="F468" s="9">
        <f ca="1">IFERROR(__xludf.DUMMYFUNCTION("GOOGLEFINANCE(C468,""change"")"),5.6)</f>
        <v>5.6</v>
      </c>
      <c r="G468" s="10">
        <f ca="1">IFERROR(__xludf.DUMMYFUNCTION("GOOGLEFINANCE(C468,""Changepct"")/100"),0.00819999999999999)</f>
        <v>8.1999999999999903E-3</v>
      </c>
      <c r="H468" s="11">
        <f ca="1">IFERROR(__xludf.DUMMYFUNCTION("GOOGLEFINANCE(C468,""Marketcap"")"),528645535138)</f>
        <v>528645535138</v>
      </c>
      <c r="I468" s="9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4" x14ac:dyDescent="0.3">
      <c r="A469" s="6" t="s">
        <v>966</v>
      </c>
      <c r="B469" s="6" t="s">
        <v>29</v>
      </c>
      <c r="C469" s="7" t="s">
        <v>967</v>
      </c>
      <c r="D469" s="7" t="s">
        <v>13</v>
      </c>
      <c r="E469" s="8">
        <f ca="1">IFERROR(__xludf.DUMMYFUNCTION("GOOGLEFINANCE(C469,""Price"")"),675)</f>
        <v>675</v>
      </c>
      <c r="F469" s="9">
        <f ca="1">IFERROR(__xludf.DUMMYFUNCTION("GOOGLEFINANCE(C469,""change"")"),-34.25)</f>
        <v>-34.25</v>
      </c>
      <c r="G469" s="10">
        <f ca="1">IFERROR(__xludf.DUMMYFUNCTION("GOOGLEFINANCE(C469,""Changepct"")/100"),-0.0483)</f>
        <v>-4.8300000000000003E-2</v>
      </c>
      <c r="H469" s="11">
        <f ca="1">IFERROR(__xludf.DUMMYFUNCTION("GOOGLEFINANCE(C469,""Marketcap"")"),86299725938)</f>
        <v>86299725938</v>
      </c>
      <c r="I469" s="9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4" x14ac:dyDescent="0.3">
      <c r="A470" s="6" t="s">
        <v>968</v>
      </c>
      <c r="B470" s="6" t="s">
        <v>29</v>
      </c>
      <c r="C470" s="7" t="s">
        <v>969</v>
      </c>
      <c r="D470" s="7" t="s">
        <v>13</v>
      </c>
      <c r="E470" s="8">
        <f ca="1">IFERROR(__xludf.DUMMYFUNCTION("GOOGLEFINANCE(C470,""Price"")"),208.5)</f>
        <v>208.5</v>
      </c>
      <c r="F470" s="9">
        <f ca="1">IFERROR(__xludf.DUMMYFUNCTION("GOOGLEFINANCE(C470,""change"")"),4.1)</f>
        <v>4.0999999999999996</v>
      </c>
      <c r="G470" s="10">
        <f ca="1">IFERROR(__xludf.DUMMYFUNCTION("GOOGLEFINANCE(C470,""Changepct"")/100"),0.0200999999999999)</f>
        <v>2.0099999999999899E-2</v>
      </c>
      <c r="H470" s="11">
        <f ca="1">IFERROR(__xludf.DUMMYFUNCTION("GOOGLEFINANCE(C470,""Marketcap"")"),25305508800)</f>
        <v>25305508800</v>
      </c>
      <c r="I470" s="9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4" x14ac:dyDescent="0.3">
      <c r="A471" s="6" t="s">
        <v>970</v>
      </c>
      <c r="B471" s="6" t="s">
        <v>29</v>
      </c>
      <c r="C471" s="7" t="s">
        <v>971</v>
      </c>
      <c r="D471" s="7" t="s">
        <v>13</v>
      </c>
      <c r="E471" s="8">
        <f ca="1">IFERROR(__xludf.DUMMYFUNCTION("GOOGLEFINANCE(C471,""Price"")"),29.65)</f>
        <v>29.65</v>
      </c>
      <c r="F471" s="9">
        <f ca="1">IFERROR(__xludf.DUMMYFUNCTION("GOOGLEFINANCE(C471,""change"")"),0.65)</f>
        <v>0.65</v>
      </c>
      <c r="G471" s="10">
        <f ca="1">IFERROR(__xludf.DUMMYFUNCTION("GOOGLEFINANCE(C471,""Changepct"")/100"),0.0224)</f>
        <v>2.24E-2</v>
      </c>
      <c r="H471" s="11">
        <f ca="1">IFERROR(__xludf.DUMMYFUNCTION("GOOGLEFINANCE(C471,""Marketcap"")"),51158095059)</f>
        <v>51158095059</v>
      </c>
      <c r="I471" s="9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4" x14ac:dyDescent="0.3">
      <c r="A472" s="6" t="s">
        <v>972</v>
      </c>
      <c r="B472" s="6" t="s">
        <v>20</v>
      </c>
      <c r="C472" s="7" t="s">
        <v>973</v>
      </c>
      <c r="D472" s="7" t="s">
        <v>22</v>
      </c>
      <c r="E472" s="8">
        <f ca="1">IFERROR(__xludf.DUMMYFUNCTION("GOOGLEFINANCE(C472,""Price"")"),6385)</f>
        <v>6385</v>
      </c>
      <c r="F472" s="9">
        <f ca="1">IFERROR(__xludf.DUMMYFUNCTION("GOOGLEFINANCE(C472,""change"")"),-105.6)</f>
        <v>-105.6</v>
      </c>
      <c r="G472" s="10">
        <f ca="1">IFERROR(__xludf.DUMMYFUNCTION("GOOGLEFINANCE(C472,""Changepct"")/100"),-0.0163)</f>
        <v>-1.6299999999999999E-2</v>
      </c>
      <c r="H472" s="11">
        <f ca="1">IFERROR(__xludf.DUMMYFUNCTION("GOOGLEFINANCE(C472,""Marketcap"")"),1844936948025)</f>
        <v>1844936948025</v>
      </c>
      <c r="I472" s="9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4" x14ac:dyDescent="0.3">
      <c r="A473" s="6" t="s">
        <v>974</v>
      </c>
      <c r="B473" s="6" t="s">
        <v>29</v>
      </c>
      <c r="C473" s="7" t="s">
        <v>975</v>
      </c>
      <c r="D473" s="7" t="s">
        <v>13</v>
      </c>
      <c r="E473" s="8">
        <f ca="1">IFERROR(__xludf.DUMMYFUNCTION("GOOGLEFINANCE(C473,""Price"")"),37.35)</f>
        <v>37.35</v>
      </c>
      <c r="F473" s="9">
        <f ca="1">IFERROR(__xludf.DUMMYFUNCTION("GOOGLEFINANCE(C473,""change"")"),2.05)</f>
        <v>2.0499999999999998</v>
      </c>
      <c r="G473" s="10">
        <f ca="1">IFERROR(__xludf.DUMMYFUNCTION("GOOGLEFINANCE(C473,""Changepct"")/100"),0.0581)</f>
        <v>5.8099999999999999E-2</v>
      </c>
      <c r="H473" s="11">
        <f ca="1">IFERROR(__xludf.DUMMYFUNCTION("GOOGLEFINANCE(C473,""Marketcap"")"),238993429750)</f>
        <v>238993429750</v>
      </c>
      <c r="I473" s="9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4" x14ac:dyDescent="0.3">
      <c r="A474" s="6" t="s">
        <v>976</v>
      </c>
      <c r="B474" s="6" t="s">
        <v>11</v>
      </c>
      <c r="C474" s="7" t="s">
        <v>977</v>
      </c>
      <c r="D474" s="7" t="s">
        <v>22</v>
      </c>
      <c r="E474" s="8">
        <f ca="1">IFERROR(__xludf.DUMMYFUNCTION("GOOGLEFINANCE(C474,""Price"")"),1209.9)</f>
        <v>1209.9000000000001</v>
      </c>
      <c r="F474" s="9">
        <f ca="1">IFERROR(__xludf.DUMMYFUNCTION("GOOGLEFINANCE(C474,""change"")"),3.4)</f>
        <v>3.4</v>
      </c>
      <c r="G474" s="10">
        <f ca="1">IFERROR(__xludf.DUMMYFUNCTION("GOOGLEFINANCE(C474,""Changepct"")/100"),0.0028)</f>
        <v>2.8E-3</v>
      </c>
      <c r="H474" s="11">
        <f ca="1">IFERROR(__xludf.DUMMYFUNCTION("GOOGLEFINANCE(C474,""Marketcap"")"),319903736945)</f>
        <v>319903736945</v>
      </c>
      <c r="I474" s="9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4" x14ac:dyDescent="0.3">
      <c r="A475" s="6" t="s">
        <v>978</v>
      </c>
      <c r="B475" s="6" t="s">
        <v>11</v>
      </c>
      <c r="C475" s="7" t="s">
        <v>979</v>
      </c>
      <c r="D475" s="7" t="s">
        <v>22</v>
      </c>
      <c r="E475" s="8">
        <f ca="1">IFERROR(__xludf.DUMMYFUNCTION("GOOGLEFINANCE(C475,""Price"")"),560.65)</f>
        <v>560.65</v>
      </c>
      <c r="F475" s="9">
        <f ca="1">IFERROR(__xludf.DUMMYFUNCTION("GOOGLEFINANCE(C475,""change"")"),5.6)</f>
        <v>5.6</v>
      </c>
      <c r="G475" s="10">
        <f ca="1">IFERROR(__xludf.DUMMYFUNCTION("GOOGLEFINANCE(C475,""Changepct"")/100"),0.0101)</f>
        <v>1.01E-2</v>
      </c>
      <c r="H475" s="11">
        <f ca="1">IFERROR(__xludf.DUMMYFUNCTION("GOOGLEFINANCE(C475,""Marketcap"")"),406591261591)</f>
        <v>406591261591</v>
      </c>
      <c r="I475" s="9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4" x14ac:dyDescent="0.3">
      <c r="A476" s="6" t="s">
        <v>980</v>
      </c>
      <c r="B476" s="6" t="s">
        <v>11</v>
      </c>
      <c r="C476" s="7" t="s">
        <v>981</v>
      </c>
      <c r="D476" s="7" t="s">
        <v>13</v>
      </c>
      <c r="E476" s="8">
        <f ca="1">IFERROR(__xludf.DUMMYFUNCTION("GOOGLEFINANCE(C476,""Price"")"),223.75)</f>
        <v>223.75</v>
      </c>
      <c r="F476" s="9">
        <f ca="1">IFERROR(__xludf.DUMMYFUNCTION("GOOGLEFINANCE(C476,""change"")"),0.7)</f>
        <v>0.7</v>
      </c>
      <c r="G476" s="10">
        <f ca="1">IFERROR(__xludf.DUMMYFUNCTION("GOOGLEFINANCE(C476,""Changepct"")/100"),0.0031)</f>
        <v>3.0999999999999999E-3</v>
      </c>
      <c r="H476" s="11">
        <f ca="1">IFERROR(__xludf.DUMMYFUNCTION("GOOGLEFINANCE(C476,""Marketcap"")"),95932028288)</f>
        <v>95932028288</v>
      </c>
      <c r="I476" s="9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4" x14ac:dyDescent="0.3">
      <c r="A477" s="6" t="s">
        <v>982</v>
      </c>
      <c r="B477" s="6" t="s">
        <v>57</v>
      </c>
      <c r="C477" s="7" t="s">
        <v>983</v>
      </c>
      <c r="D477" s="7" t="s">
        <v>13</v>
      </c>
      <c r="E477" s="8">
        <f ca="1">IFERROR(__xludf.DUMMYFUNCTION("GOOGLEFINANCE(C477,""Price"")"),2675)</f>
        <v>2675</v>
      </c>
      <c r="F477" s="9">
        <f ca="1">IFERROR(__xludf.DUMMYFUNCTION("GOOGLEFINANCE(C477,""change"")"),-32.7)</f>
        <v>-32.700000000000003</v>
      </c>
      <c r="G477" s="10">
        <f ca="1">IFERROR(__xludf.DUMMYFUNCTION("GOOGLEFINANCE(C477,""Changepct"")/100"),-0.0121)</f>
        <v>-1.21E-2</v>
      </c>
      <c r="H477" s="11">
        <f ca="1">IFERROR(__xludf.DUMMYFUNCTION("GOOGLEFINANCE(C477,""Marketcap"")"),52578253032)</f>
        <v>52578253032</v>
      </c>
      <c r="I477" s="9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4" x14ac:dyDescent="0.3">
      <c r="A478" s="6" t="s">
        <v>984</v>
      </c>
      <c r="B478" s="6" t="s">
        <v>11</v>
      </c>
      <c r="C478" s="7" t="s">
        <v>985</v>
      </c>
      <c r="D478" s="7" t="s">
        <v>13</v>
      </c>
      <c r="E478" s="8">
        <f ca="1">IFERROR(__xludf.DUMMYFUNCTION("GOOGLEFINANCE(C478,""Price"")"),336.6)</f>
        <v>336.6</v>
      </c>
      <c r="F478" s="9">
        <f ca="1">IFERROR(__xludf.DUMMYFUNCTION("GOOGLEFINANCE(C478,""change"")"),2.8)</f>
        <v>2.8</v>
      </c>
      <c r="G478" s="10">
        <f ca="1">IFERROR(__xludf.DUMMYFUNCTION("GOOGLEFINANCE(C478,""Changepct"")/100"),0.0084)</f>
        <v>8.3999999999999995E-3</v>
      </c>
      <c r="H478" s="11">
        <f ca="1">IFERROR(__xludf.DUMMYFUNCTION("GOOGLEFINANCE(C478,""Marketcap"")"),47397661422)</f>
        <v>47397661422</v>
      </c>
      <c r="I478" s="9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4" x14ac:dyDescent="0.3">
      <c r="A479" s="6" t="s">
        <v>986</v>
      </c>
      <c r="B479" s="6" t="s">
        <v>11</v>
      </c>
      <c r="C479" s="7" t="s">
        <v>987</v>
      </c>
      <c r="D479" s="7" t="s">
        <v>13</v>
      </c>
      <c r="E479" s="8">
        <f ca="1">IFERROR(__xludf.DUMMYFUNCTION("GOOGLEFINANCE(C479,""Price"")"),3185.1)</f>
        <v>3185.1</v>
      </c>
      <c r="F479" s="9">
        <f ca="1">IFERROR(__xludf.DUMMYFUNCTION("GOOGLEFINANCE(C479,""change"")"),-3.65)</f>
        <v>-3.65</v>
      </c>
      <c r="G479" s="10">
        <f ca="1">IFERROR(__xludf.DUMMYFUNCTION("GOOGLEFINANCE(C479,""Changepct"")/100"),-0.0011)</f>
        <v>-1.1000000000000001E-3</v>
      </c>
      <c r="H479" s="11">
        <f ca="1">IFERROR(__xludf.DUMMYFUNCTION("GOOGLEFINANCE(C479,""Marketcap"")"),49116172740)</f>
        <v>49116172740</v>
      </c>
      <c r="I479" s="9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4" x14ac:dyDescent="0.3">
      <c r="A480" s="6" t="s">
        <v>988</v>
      </c>
      <c r="B480" s="6" t="s">
        <v>57</v>
      </c>
      <c r="C480" s="7" t="s">
        <v>989</v>
      </c>
      <c r="D480" s="7" t="s">
        <v>13</v>
      </c>
      <c r="E480" s="8">
        <f ca="1">IFERROR(__xludf.DUMMYFUNCTION("GOOGLEFINANCE(C480,""Price"")"),894.8)</f>
        <v>894.8</v>
      </c>
      <c r="F480" s="9">
        <f ca="1">IFERROR(__xludf.DUMMYFUNCTION("GOOGLEFINANCE(C480,""change"")"),-40.5)</f>
        <v>-40.5</v>
      </c>
      <c r="G480" s="10">
        <f ca="1">IFERROR(__xludf.DUMMYFUNCTION("GOOGLEFINANCE(C480,""Changepct"")/100"),-0.0433)</f>
        <v>-4.3299999999999998E-2</v>
      </c>
      <c r="H480" s="11">
        <f ca="1">IFERROR(__xludf.DUMMYFUNCTION("GOOGLEFINANCE(C480,""Marketcap"")"),143463797633)</f>
        <v>143463797633</v>
      </c>
      <c r="I480" s="9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4" x14ac:dyDescent="0.3">
      <c r="A481" s="6" t="s">
        <v>990</v>
      </c>
      <c r="B481" s="6" t="s">
        <v>64</v>
      </c>
      <c r="C481" s="7" t="s">
        <v>991</v>
      </c>
      <c r="D481" s="7" t="s">
        <v>13</v>
      </c>
      <c r="E481" s="8">
        <f ca="1">IFERROR(__xludf.DUMMYFUNCTION("GOOGLEFINANCE(C481,""Price"")"),50.6)</f>
        <v>50.6</v>
      </c>
      <c r="F481" s="9">
        <f ca="1">IFERROR(__xludf.DUMMYFUNCTION("GOOGLEFINANCE(C481,""change"")"),0.85)</f>
        <v>0.85</v>
      </c>
      <c r="G481" s="10">
        <f ca="1">IFERROR(__xludf.DUMMYFUNCTION("GOOGLEFINANCE(C481,""Changepct"")/100"),0.0171)</f>
        <v>1.7100000000000001E-2</v>
      </c>
      <c r="H481" s="11">
        <f ca="1">IFERROR(__xludf.DUMMYFUNCTION("GOOGLEFINANCE(C481,""Marketcap"")"),53553785500)</f>
        <v>53553785500</v>
      </c>
      <c r="I481" s="9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4" x14ac:dyDescent="0.3">
      <c r="A482" s="6" t="s">
        <v>992</v>
      </c>
      <c r="B482" s="6" t="s">
        <v>35</v>
      </c>
      <c r="C482" s="7" t="s">
        <v>993</v>
      </c>
      <c r="D482" s="7" t="s">
        <v>13</v>
      </c>
      <c r="E482" s="8">
        <f ca="1">IFERROR(__xludf.DUMMYFUNCTION("GOOGLEFINANCE(C482,""Price"")"),1760)</f>
        <v>1760</v>
      </c>
      <c r="F482" s="9">
        <f ca="1">IFERROR(__xludf.DUMMYFUNCTION("GOOGLEFINANCE(C482,""change"")"),36.85)</f>
        <v>36.85</v>
      </c>
      <c r="G482" s="10">
        <f ca="1">IFERROR(__xludf.DUMMYFUNCTION("GOOGLEFINANCE(C482,""Changepct"")/100"),0.0214)</f>
        <v>2.1399999999999999E-2</v>
      </c>
      <c r="H482" s="11">
        <f ca="1">IFERROR(__xludf.DUMMYFUNCTION("GOOGLEFINANCE(C482,""Marketcap"")"),48226553870)</f>
        <v>48226553870</v>
      </c>
      <c r="I482" s="9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4" x14ac:dyDescent="0.3">
      <c r="A483" s="6" t="s">
        <v>994</v>
      </c>
      <c r="B483" s="6" t="s">
        <v>79</v>
      </c>
      <c r="C483" s="7" t="s">
        <v>995</v>
      </c>
      <c r="D483" s="7" t="s">
        <v>13</v>
      </c>
      <c r="E483" s="8">
        <f ca="1">IFERROR(__xludf.DUMMYFUNCTION("GOOGLEFINANCE(C483,""Price"")"),1349)</f>
        <v>1349</v>
      </c>
      <c r="F483" s="9">
        <f ca="1">IFERROR(__xludf.DUMMYFUNCTION("GOOGLEFINANCE(C483,""change"")"),25.75)</f>
        <v>25.75</v>
      </c>
      <c r="G483" s="10">
        <f ca="1">IFERROR(__xludf.DUMMYFUNCTION("GOOGLEFINANCE(C483,""Changepct"")/100"),0.0195)</f>
        <v>1.95E-2</v>
      </c>
      <c r="H483" s="11">
        <f ca="1">IFERROR(__xludf.DUMMYFUNCTION("GOOGLEFINANCE(C483,""Marketcap"")"),78059372982)</f>
        <v>78059372982</v>
      </c>
      <c r="I483" s="9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4" x14ac:dyDescent="0.3">
      <c r="A484" s="6" t="s">
        <v>996</v>
      </c>
      <c r="B484" s="6" t="s">
        <v>82</v>
      </c>
      <c r="C484" s="7" t="s">
        <v>997</v>
      </c>
      <c r="D484" s="7" t="s">
        <v>13</v>
      </c>
      <c r="E484" s="8">
        <f ca="1">IFERROR(__xludf.DUMMYFUNCTION("GOOGLEFINANCE(C484,""Price"")"),379.3)</f>
        <v>379.3</v>
      </c>
      <c r="F484" s="9">
        <f ca="1">IFERROR(__xludf.DUMMYFUNCTION("GOOGLEFINANCE(C484,""change"")"),-2)</f>
        <v>-2</v>
      </c>
      <c r="G484" s="10">
        <f ca="1">IFERROR(__xludf.DUMMYFUNCTION("GOOGLEFINANCE(C484,""Changepct"")/100"),-0.0052)</f>
        <v>-5.1999999999999998E-3</v>
      </c>
      <c r="H484" s="11">
        <f ca="1">IFERROR(__xludf.DUMMYFUNCTION("GOOGLEFINANCE(C484,""Marketcap"")"),57951841724)</f>
        <v>57951841724</v>
      </c>
      <c r="I484" s="9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4" x14ac:dyDescent="0.3">
      <c r="A485" s="6" t="s">
        <v>998</v>
      </c>
      <c r="B485" s="6" t="s">
        <v>11</v>
      </c>
      <c r="C485" s="7" t="s">
        <v>999</v>
      </c>
      <c r="D485" s="7" t="s">
        <v>13</v>
      </c>
      <c r="E485" s="8">
        <f ca="1">IFERROR(__xludf.DUMMYFUNCTION("GOOGLEFINANCE(C485,""Price"")"),980)</f>
        <v>980</v>
      </c>
      <c r="F485" s="9">
        <f ca="1">IFERROR(__xludf.DUMMYFUNCTION("GOOGLEFINANCE(C485,""change"")"),-12.8)</f>
        <v>-12.8</v>
      </c>
      <c r="G485" s="10">
        <f ca="1">IFERROR(__xludf.DUMMYFUNCTION("GOOGLEFINANCE(C485,""Changepct"")/100"),-0.0129)</f>
        <v>-1.29E-2</v>
      </c>
      <c r="H485" s="11">
        <f ca="1">IFERROR(__xludf.DUMMYFUNCTION("GOOGLEFINANCE(C485,""Marketcap"")"),283246386300)</f>
        <v>283246386300</v>
      </c>
      <c r="I485" s="9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4" x14ac:dyDescent="0.3">
      <c r="A486" s="6" t="s">
        <v>1000</v>
      </c>
      <c r="B486" s="6" t="s">
        <v>26</v>
      </c>
      <c r="C486" s="7" t="s">
        <v>1001</v>
      </c>
      <c r="D486" s="7" t="s">
        <v>22</v>
      </c>
      <c r="E486" s="8">
        <f ca="1">IFERROR(__xludf.DUMMYFUNCTION("GOOGLEFINANCE(C486,""Price"")"),283.6)</f>
        <v>283.60000000000002</v>
      </c>
      <c r="F486" s="9">
        <f ca="1">IFERROR(__xludf.DUMMYFUNCTION("GOOGLEFINANCE(C486,""change"")"),-5)</f>
        <v>-5</v>
      </c>
      <c r="G486" s="10">
        <f ca="1">IFERROR(__xludf.DUMMYFUNCTION("GOOGLEFINANCE(C486,""Changepct"")/100"),-0.0173)</f>
        <v>-1.7299999999999999E-2</v>
      </c>
      <c r="H486" s="11">
        <f ca="1">IFERROR(__xludf.DUMMYFUNCTION("GOOGLEFINANCE(C486,""Marketcap"")"),14089008771)</f>
        <v>14089008771</v>
      </c>
      <c r="I486" s="9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4" x14ac:dyDescent="0.3">
      <c r="A487" s="6" t="s">
        <v>1002</v>
      </c>
      <c r="B487" s="6" t="s">
        <v>11</v>
      </c>
      <c r="C487" s="7" t="s">
        <v>1003</v>
      </c>
      <c r="D487" s="7" t="s">
        <v>13</v>
      </c>
      <c r="E487" s="8">
        <f ca="1">IFERROR(__xludf.DUMMYFUNCTION("GOOGLEFINANCE(C487,""Price"")"),2132.3)</f>
        <v>2132.3000000000002</v>
      </c>
      <c r="F487" s="9">
        <f ca="1">IFERROR(__xludf.DUMMYFUNCTION("GOOGLEFINANCE(C487,""change"")"),355.35)</f>
        <v>355.35</v>
      </c>
      <c r="G487" s="10">
        <f ca="1">IFERROR(__xludf.DUMMYFUNCTION("GOOGLEFINANCE(C487,""Changepct"")/100"),0.2)</f>
        <v>0.2</v>
      </c>
      <c r="H487" s="11">
        <f ca="1">IFERROR(__xludf.DUMMYFUNCTION("GOOGLEFINANCE(C487,""Marketcap"")"),29619907819)</f>
        <v>29619907819</v>
      </c>
      <c r="I487" s="9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4" x14ac:dyDescent="0.3">
      <c r="A488" s="6" t="s">
        <v>1004</v>
      </c>
      <c r="B488" s="6" t="s">
        <v>35</v>
      </c>
      <c r="C488" s="7" t="s">
        <v>1005</v>
      </c>
      <c r="D488" s="7" t="s">
        <v>13</v>
      </c>
      <c r="E488" s="8">
        <f ca="1">IFERROR(__xludf.DUMMYFUNCTION("GOOGLEFINANCE(C488,""Price"")"),1760.8)</f>
        <v>1760.8</v>
      </c>
      <c r="F488" s="9">
        <f ca="1">IFERROR(__xludf.DUMMYFUNCTION("GOOGLEFINANCE(C488,""change"")"),36.8)</f>
        <v>36.799999999999997</v>
      </c>
      <c r="G488" s="10">
        <f ca="1">IFERROR(__xludf.DUMMYFUNCTION("GOOGLEFINANCE(C488,""Changepct"")/100"),0.0213)</f>
        <v>2.1299999999999999E-2</v>
      </c>
      <c r="H488" s="11">
        <f ca="1">IFERROR(__xludf.DUMMYFUNCTION("GOOGLEFINANCE(C488,""Marketcap"")"),181136437900)</f>
        <v>181136437900</v>
      </c>
      <c r="I488" s="9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4" x14ac:dyDescent="0.3">
      <c r="A489" s="6" t="s">
        <v>1006</v>
      </c>
      <c r="B489" s="6" t="s">
        <v>174</v>
      </c>
      <c r="C489" s="7" t="s">
        <v>1007</v>
      </c>
      <c r="D489" s="7" t="s">
        <v>22</v>
      </c>
      <c r="E489" s="8">
        <f ca="1">IFERROR(__xludf.DUMMYFUNCTION("GOOGLEFINANCE(C489,""Price"")"),8.8)</f>
        <v>8.8000000000000007</v>
      </c>
      <c r="F489" s="9">
        <f ca="1">IFERROR(__xludf.DUMMYFUNCTION("GOOGLEFINANCE(C489,""change"")"),0.7)</f>
        <v>0.7</v>
      </c>
      <c r="G489" s="10">
        <f ca="1">IFERROR(__xludf.DUMMYFUNCTION("GOOGLEFINANCE(C489,""Changepct"")/100"),0.0864)</f>
        <v>8.6400000000000005E-2</v>
      </c>
      <c r="H489" s="11">
        <f ca="1">IFERROR(__xludf.DUMMYFUNCTION("GOOGLEFINANCE(C489,""Marketcap"")"),252584077003)</f>
        <v>252584077003</v>
      </c>
      <c r="I489" s="9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4" x14ac:dyDescent="0.3">
      <c r="A490" s="6" t="s">
        <v>1008</v>
      </c>
      <c r="B490" s="6" t="s">
        <v>11</v>
      </c>
      <c r="C490" s="7" t="s">
        <v>1009</v>
      </c>
      <c r="D490" s="7" t="s">
        <v>22</v>
      </c>
      <c r="E490" s="8">
        <f ca="1">IFERROR(__xludf.DUMMYFUNCTION("GOOGLEFINANCE(C490,""Price"")"),961.6)</f>
        <v>961.6</v>
      </c>
      <c r="F490" s="9">
        <f ca="1">IFERROR(__xludf.DUMMYFUNCTION("GOOGLEFINANCE(C490,""change"")"),-48.65)</f>
        <v>-48.65</v>
      </c>
      <c r="G490" s="10">
        <f ca="1">IFERROR(__xludf.DUMMYFUNCTION("GOOGLEFINANCE(C490,""Changepct"")/100"),-0.0482)</f>
        <v>-4.82E-2</v>
      </c>
      <c r="H490" s="11">
        <f ca="1">IFERROR(__xludf.DUMMYFUNCTION("GOOGLEFINANCE(C490,""Marketcap"")"),321124224526)</f>
        <v>321124224526</v>
      </c>
      <c r="I490" s="9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4" x14ac:dyDescent="0.3">
      <c r="A491" s="6" t="s">
        <v>1010</v>
      </c>
      <c r="B491" s="6" t="s">
        <v>82</v>
      </c>
      <c r="C491" s="7" t="s">
        <v>1011</v>
      </c>
      <c r="D491" s="7" t="s">
        <v>13</v>
      </c>
      <c r="E491" s="8">
        <f ca="1">IFERROR(__xludf.DUMMYFUNCTION("GOOGLEFINANCE(C491,""Price"")"),6939.1)</f>
        <v>6939.1</v>
      </c>
      <c r="F491" s="9">
        <f ca="1">IFERROR(__xludf.DUMMYFUNCTION("GOOGLEFINANCE(C491,""change"")"),39.95)</f>
        <v>39.950000000000003</v>
      </c>
      <c r="G491" s="10">
        <f ca="1">IFERROR(__xludf.DUMMYFUNCTION("GOOGLEFINANCE(C491,""Changepct"")/100"),0.0058)</f>
        <v>5.7999999999999996E-3</v>
      </c>
      <c r="H491" s="11">
        <f ca="1">IFERROR(__xludf.DUMMYFUNCTION("GOOGLEFINANCE(C491,""Marketcap"")"),131333317500)</f>
        <v>131333317500</v>
      </c>
      <c r="I491" s="9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4" x14ac:dyDescent="0.3">
      <c r="A492" s="6" t="s">
        <v>1012</v>
      </c>
      <c r="B492" s="6" t="s">
        <v>26</v>
      </c>
      <c r="C492" s="7" t="s">
        <v>1013</v>
      </c>
      <c r="D492" s="7" t="s">
        <v>13</v>
      </c>
      <c r="E492" s="8">
        <f ca="1">IFERROR(__xludf.DUMMYFUNCTION("GOOGLEFINANCE(C492,""Price"")"),144.7)</f>
        <v>144.69999999999999</v>
      </c>
      <c r="F492" s="9">
        <f ca="1">IFERROR(__xludf.DUMMYFUNCTION("GOOGLEFINANCE(C492,""change"")"),-1.95)</f>
        <v>-1.95</v>
      </c>
      <c r="G492" s="10">
        <f ca="1">IFERROR(__xludf.DUMMYFUNCTION("GOOGLEFINANCE(C492,""Changepct"")/100"),-0.0133)</f>
        <v>-1.3299999999999999E-2</v>
      </c>
      <c r="H492" s="11">
        <f ca="1">IFERROR(__xludf.DUMMYFUNCTION("GOOGLEFINANCE(C492,""Marketcap"")"),37889587333)</f>
        <v>37889587333</v>
      </c>
      <c r="I492" s="9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4" x14ac:dyDescent="0.3">
      <c r="A493" s="6" t="s">
        <v>1014</v>
      </c>
      <c r="B493" s="6" t="s">
        <v>79</v>
      </c>
      <c r="C493" s="7" t="s">
        <v>1015</v>
      </c>
      <c r="D493" s="7" t="s">
        <v>13</v>
      </c>
      <c r="E493" s="8">
        <f ca="1">IFERROR(__xludf.DUMMYFUNCTION("GOOGLEFINANCE(C493,""Price"")"),91.85)</f>
        <v>91.85</v>
      </c>
      <c r="F493" s="9">
        <f ca="1">IFERROR(__xludf.DUMMYFUNCTION("GOOGLEFINANCE(C493,""change"")"),-1.75)</f>
        <v>-1.75</v>
      </c>
      <c r="G493" s="10">
        <f ca="1">IFERROR(__xludf.DUMMYFUNCTION("GOOGLEFINANCE(C493,""Changepct"")/100"),-0.0187)</f>
        <v>-1.8700000000000001E-2</v>
      </c>
      <c r="H493" s="11">
        <f ca="1">IFERROR(__xludf.DUMMYFUNCTION("GOOGLEFINANCE(C493,""Marketcap"")"),91581942535)</f>
        <v>91581942535</v>
      </c>
      <c r="I493" s="9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4" x14ac:dyDescent="0.3">
      <c r="A494" s="6" t="s">
        <v>1016</v>
      </c>
      <c r="B494" s="6" t="s">
        <v>57</v>
      </c>
      <c r="C494" s="7" t="s">
        <v>1017</v>
      </c>
      <c r="D494" s="7" t="s">
        <v>13</v>
      </c>
      <c r="E494" s="8">
        <f ca="1">IFERROR(__xludf.DUMMYFUNCTION("GOOGLEFINANCE(C494,""Price"")"),420)</f>
        <v>420</v>
      </c>
      <c r="F494" s="9">
        <f ca="1">IFERROR(__xludf.DUMMYFUNCTION("GOOGLEFINANCE(C494,""change"")"),-6.25)</f>
        <v>-6.25</v>
      </c>
      <c r="G494" s="10">
        <f ca="1">IFERROR(__xludf.DUMMYFUNCTION("GOOGLEFINANCE(C494,""Changepct"")/100"),-0.0147)</f>
        <v>-1.47E-2</v>
      </c>
      <c r="H494" s="11">
        <f ca="1">IFERROR(__xludf.DUMMYFUNCTION("GOOGLEFINANCE(C494,""Marketcap"")"),65437176000)</f>
        <v>65437176000</v>
      </c>
      <c r="I494" s="9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4" x14ac:dyDescent="0.3">
      <c r="A495" s="6" t="s">
        <v>1018</v>
      </c>
      <c r="B495" s="6" t="s">
        <v>11</v>
      </c>
      <c r="C495" s="7" t="s">
        <v>1019</v>
      </c>
      <c r="D495" s="7" t="s">
        <v>13</v>
      </c>
      <c r="E495" s="8">
        <f ca="1">IFERROR(__xludf.DUMMYFUNCTION("GOOGLEFINANCE(C495,""Price"")"),2094.75)</f>
        <v>2094.75</v>
      </c>
      <c r="F495" s="9">
        <f ca="1">IFERROR(__xludf.DUMMYFUNCTION("GOOGLEFINANCE(C495,""change"")"),-50.5)</f>
        <v>-50.5</v>
      </c>
      <c r="G495" s="10">
        <f ca="1">IFERROR(__xludf.DUMMYFUNCTION("GOOGLEFINANCE(C495,""Changepct"")/100"),-0.0235)</f>
        <v>-2.35E-2</v>
      </c>
      <c r="H495" s="11">
        <f ca="1">IFERROR(__xludf.DUMMYFUNCTION("GOOGLEFINANCE(C495,""Marketcap"")"),265764703050)</f>
        <v>265764703050</v>
      </c>
      <c r="I495" s="9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4" x14ac:dyDescent="0.3">
      <c r="A496" s="6" t="s">
        <v>1020</v>
      </c>
      <c r="B496" s="6" t="s">
        <v>64</v>
      </c>
      <c r="C496" s="7" t="s">
        <v>1021</v>
      </c>
      <c r="D496" s="7" t="s">
        <v>22</v>
      </c>
      <c r="E496" s="8">
        <f ca="1">IFERROR(__xludf.DUMMYFUNCTION("GOOGLEFINANCE(C496,""Price"")"),506.5)</f>
        <v>506.5</v>
      </c>
      <c r="F496" s="9">
        <f ca="1">IFERROR(__xludf.DUMMYFUNCTION("GOOGLEFINANCE(C496,""change"")"),-11.9)</f>
        <v>-11.9</v>
      </c>
      <c r="G496" s="10">
        <f ca="1">IFERROR(__xludf.DUMMYFUNCTION("GOOGLEFINANCE(C496,""Changepct"")/100"),-0.023)</f>
        <v>-2.3E-2</v>
      </c>
      <c r="H496" s="11">
        <f ca="1">IFERROR(__xludf.DUMMYFUNCTION("GOOGLEFINANCE(C496,""Marketcap"")"),37207314165)</f>
        <v>37207314165</v>
      </c>
      <c r="I496" s="9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4" x14ac:dyDescent="0.3">
      <c r="A497" s="6" t="s">
        <v>1022</v>
      </c>
      <c r="B497" s="6" t="s">
        <v>32</v>
      </c>
      <c r="C497" s="7" t="s">
        <v>1023</v>
      </c>
      <c r="D497" s="7" t="s">
        <v>13</v>
      </c>
      <c r="E497" s="8">
        <f ca="1">IFERROR(__xludf.DUMMYFUNCTION("GOOGLEFINANCE(C497,""Price"")"),632)</f>
        <v>632</v>
      </c>
      <c r="F497" s="9">
        <f ca="1">IFERROR(__xludf.DUMMYFUNCTION("GOOGLEFINANCE(C497,""change"")"),10.9)</f>
        <v>10.9</v>
      </c>
      <c r="G497" s="10">
        <f ca="1">IFERROR(__xludf.DUMMYFUNCTION("GOOGLEFINANCE(C497,""Changepct"")/100"),0.0175)</f>
        <v>1.7500000000000002E-2</v>
      </c>
      <c r="H497" s="11">
        <f ca="1">IFERROR(__xludf.DUMMYFUNCTION("GOOGLEFINANCE(C497,""Marketcap"")"),69858841907)</f>
        <v>69858841907</v>
      </c>
      <c r="I497" s="9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4" x14ac:dyDescent="0.3">
      <c r="A498" s="6" t="s">
        <v>1024</v>
      </c>
      <c r="B498" s="6" t="s">
        <v>29</v>
      </c>
      <c r="C498" s="7" t="s">
        <v>1025</v>
      </c>
      <c r="D498" s="7" t="s">
        <v>13</v>
      </c>
      <c r="E498" s="8">
        <f ca="1">IFERROR(__xludf.DUMMYFUNCTION("GOOGLEFINANCE(C498,""Price"")"),13.35)</f>
        <v>13.35</v>
      </c>
      <c r="F498" s="9">
        <f ca="1">IFERROR(__xludf.DUMMYFUNCTION("GOOGLEFINANCE(C498,""change"")"),0.2)</f>
        <v>0.2</v>
      </c>
      <c r="G498" s="10">
        <f ca="1">IFERROR(__xludf.DUMMYFUNCTION("GOOGLEFINANCE(C498,""Changepct"")/100"),0.0152)</f>
        <v>1.52E-2</v>
      </c>
      <c r="H498" s="11">
        <f ca="1">IFERROR(__xludf.DUMMYFUNCTION("GOOGLEFINANCE(C498,""Marketcap"")"),333727878589)</f>
        <v>333727878589</v>
      </c>
      <c r="I498" s="9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4" x14ac:dyDescent="0.3">
      <c r="A499" s="6" t="s">
        <v>1026</v>
      </c>
      <c r="B499" s="6" t="s">
        <v>288</v>
      </c>
      <c r="C499" s="7" t="s">
        <v>1027</v>
      </c>
      <c r="D499" s="7" t="s">
        <v>22</v>
      </c>
      <c r="E499" s="8">
        <f ca="1">IFERROR(__xludf.DUMMYFUNCTION("GOOGLEFINANCE(C499,""Price"")"),192.75)</f>
        <v>192.75</v>
      </c>
      <c r="F499" s="9">
        <f ca="1">IFERROR(__xludf.DUMMYFUNCTION("GOOGLEFINANCE(C499,""change"")"),5.9)</f>
        <v>5.9</v>
      </c>
      <c r="G499" s="10">
        <f ca="1">IFERROR(__xludf.DUMMYFUNCTION("GOOGLEFINANCE(C499,""Changepct"")/100"),0.0316)</f>
        <v>3.1600000000000003E-2</v>
      </c>
      <c r="H499" s="11">
        <f ca="1">IFERROR(__xludf.DUMMYFUNCTION("GOOGLEFINANCE(C499,""Marketcap"")"),185472402790)</f>
        <v>185472402790</v>
      </c>
      <c r="I499" s="9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4" x14ac:dyDescent="0.3">
      <c r="A500" s="6" t="s">
        <v>1028</v>
      </c>
      <c r="B500" s="6" t="s">
        <v>64</v>
      </c>
      <c r="C500" s="7" t="s">
        <v>1029</v>
      </c>
      <c r="D500" s="7" t="s">
        <v>13</v>
      </c>
      <c r="E500" s="8">
        <f ca="1">IFERROR(__xludf.DUMMYFUNCTION("GOOGLEFINANCE(C500,""Price"")"),271.3)</f>
        <v>271.3</v>
      </c>
      <c r="F500" s="9">
        <f ca="1">IFERROR(__xludf.DUMMYFUNCTION("GOOGLEFINANCE(C500,""change"")"),3.4)</f>
        <v>3.4</v>
      </c>
      <c r="G500" s="10">
        <f ca="1">IFERROR(__xludf.DUMMYFUNCTION("GOOGLEFINANCE(C500,""Changepct"")/100"),0.0127)</f>
        <v>1.2699999999999999E-2</v>
      </c>
      <c r="H500" s="11">
        <f ca="1">IFERROR(__xludf.DUMMYFUNCTION("GOOGLEFINANCE(C500,""Marketcap"")"),61556219245)</f>
        <v>61556219245</v>
      </c>
      <c r="I500" s="9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4" x14ac:dyDescent="0.3">
      <c r="A501" s="6" t="s">
        <v>1030</v>
      </c>
      <c r="B501" s="6" t="s">
        <v>11</v>
      </c>
      <c r="C501" s="7" t="s">
        <v>1031</v>
      </c>
      <c r="D501" s="7" t="s">
        <v>13</v>
      </c>
      <c r="E501" s="8">
        <f ca="1">IFERROR(__xludf.DUMMYFUNCTION("GOOGLEFINANCE(C501,""Price"")"),2094.9)</f>
        <v>2094.9</v>
      </c>
      <c r="F501" s="9">
        <f ca="1">IFERROR(__xludf.DUMMYFUNCTION("GOOGLEFINANCE(C501,""change"")"),-15.75)</f>
        <v>-15.75</v>
      </c>
      <c r="G501" s="10">
        <f ca="1">IFERROR(__xludf.DUMMYFUNCTION("GOOGLEFINANCE(C501,""Changepct"")/100"),-0.0075)</f>
        <v>-7.4999999999999997E-3</v>
      </c>
      <c r="H501" s="11">
        <f ca="1">IFERROR(__xludf.DUMMYFUNCTION("GOOGLEFINANCE(C501,""Marketcap"")"),133302984820)</f>
        <v>133302984820</v>
      </c>
      <c r="I501" s="9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4" x14ac:dyDescent="0.3">
      <c r="A502" s="6" t="s">
        <v>1032</v>
      </c>
      <c r="B502" s="6" t="s">
        <v>64</v>
      </c>
      <c r="C502" s="7" t="s">
        <v>1033</v>
      </c>
      <c r="D502" s="7" t="s">
        <v>13</v>
      </c>
      <c r="E502" s="8">
        <f ca="1">IFERROR(__xludf.DUMMYFUNCTION("GOOGLEFINANCE(C502,""Price"")"),1193.95)</f>
        <v>1193.95</v>
      </c>
      <c r="F502" s="9">
        <f ca="1">IFERROR(__xludf.DUMMYFUNCTION("GOOGLEFINANCE(C502,""change"")"),-37.9)</f>
        <v>-37.9</v>
      </c>
      <c r="G502" s="10">
        <f ca="1">IFERROR(__xludf.DUMMYFUNCTION("GOOGLEFINANCE(C502,""Changepct"")/100"),-0.0308)</f>
        <v>-3.0800000000000001E-2</v>
      </c>
      <c r="H502" s="11">
        <f ca="1">IFERROR(__xludf.DUMMYFUNCTION("GOOGLEFINANCE(C502,""Marketcap"")"),40618494700)</f>
        <v>40618494700</v>
      </c>
      <c r="I502" s="9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3.2" x14ac:dyDescent="0.25">
      <c r="A503" s="16"/>
      <c r="B503" s="16"/>
      <c r="C503" s="15"/>
      <c r="D503" s="15"/>
      <c r="E503" s="15"/>
      <c r="F503" s="15"/>
      <c r="G503" s="17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3.2" x14ac:dyDescent="0.25">
      <c r="A504" s="16"/>
      <c r="B504" s="16"/>
      <c r="C504" s="15"/>
      <c r="D504" s="15"/>
      <c r="E504" s="15"/>
      <c r="F504" s="15"/>
      <c r="G504" s="17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3.2" x14ac:dyDescent="0.25">
      <c r="A505" s="16"/>
      <c r="B505" s="16"/>
      <c r="C505" s="15"/>
      <c r="D505" s="15"/>
      <c r="E505" s="15"/>
      <c r="F505" s="15"/>
      <c r="G505" s="17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3.2" x14ac:dyDescent="0.25">
      <c r="A506" s="16"/>
      <c r="B506" s="16"/>
      <c r="C506" s="15"/>
      <c r="D506" s="15"/>
      <c r="E506" s="15"/>
      <c r="F506" s="15"/>
      <c r="G506" s="17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3.2" x14ac:dyDescent="0.25">
      <c r="A507" s="16"/>
      <c r="B507" s="16"/>
      <c r="C507" s="15"/>
      <c r="D507" s="15"/>
      <c r="E507" s="15"/>
      <c r="F507" s="15"/>
      <c r="G507" s="17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3.2" x14ac:dyDescent="0.25">
      <c r="A508" s="16"/>
      <c r="B508" s="16"/>
      <c r="C508" s="15"/>
      <c r="D508" s="15"/>
      <c r="E508" s="15"/>
      <c r="F508" s="15"/>
      <c r="G508" s="17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3.2" x14ac:dyDescent="0.25">
      <c r="A509" s="16"/>
      <c r="B509" s="16"/>
      <c r="C509" s="15"/>
      <c r="D509" s="15"/>
      <c r="E509" s="15"/>
      <c r="F509" s="15"/>
      <c r="G509" s="17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3.2" x14ac:dyDescent="0.25">
      <c r="A510" s="16"/>
      <c r="B510" s="16"/>
      <c r="C510" s="15"/>
      <c r="D510" s="15"/>
      <c r="E510" s="15"/>
      <c r="F510" s="15"/>
      <c r="G510" s="17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3.2" x14ac:dyDescent="0.25">
      <c r="A511" s="16"/>
      <c r="B511" s="16"/>
      <c r="C511" s="15"/>
      <c r="D511" s="15"/>
      <c r="E511" s="15"/>
      <c r="F511" s="15"/>
      <c r="G511" s="17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3.2" x14ac:dyDescent="0.25">
      <c r="A512" s="16"/>
      <c r="B512" s="16"/>
      <c r="C512" s="15"/>
      <c r="D512" s="15"/>
      <c r="E512" s="15"/>
      <c r="F512" s="15"/>
      <c r="G512" s="17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3.2" x14ac:dyDescent="0.25">
      <c r="A513" s="16"/>
      <c r="B513" s="16"/>
      <c r="C513" s="15"/>
      <c r="D513" s="15"/>
      <c r="E513" s="15"/>
      <c r="F513" s="15"/>
      <c r="G513" s="17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3.2" x14ac:dyDescent="0.25">
      <c r="A514" s="16"/>
      <c r="B514" s="16"/>
      <c r="C514" s="15"/>
      <c r="D514" s="15"/>
      <c r="E514" s="15"/>
      <c r="F514" s="15"/>
      <c r="G514" s="17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3.2" x14ac:dyDescent="0.25">
      <c r="A515" s="16"/>
      <c r="B515" s="16"/>
      <c r="C515" s="15"/>
      <c r="D515" s="15"/>
      <c r="E515" s="15"/>
      <c r="F515" s="15"/>
      <c r="G515" s="17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3.2" x14ac:dyDescent="0.25">
      <c r="A516" s="16"/>
      <c r="B516" s="16"/>
      <c r="C516" s="15"/>
      <c r="D516" s="15"/>
      <c r="E516" s="15"/>
      <c r="F516" s="15"/>
      <c r="G516" s="17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3.2" x14ac:dyDescent="0.25">
      <c r="A517" s="16"/>
      <c r="B517" s="16"/>
      <c r="C517" s="15"/>
      <c r="D517" s="15"/>
      <c r="E517" s="15"/>
      <c r="F517" s="15"/>
      <c r="G517" s="17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3.2" x14ac:dyDescent="0.25">
      <c r="A518" s="16"/>
      <c r="B518" s="16"/>
      <c r="C518" s="15"/>
      <c r="D518" s="15"/>
      <c r="E518" s="15"/>
      <c r="F518" s="15"/>
      <c r="G518" s="17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3.2" x14ac:dyDescent="0.25">
      <c r="A519" s="16"/>
      <c r="B519" s="16"/>
      <c r="C519" s="15"/>
      <c r="D519" s="15"/>
      <c r="E519" s="15"/>
      <c r="F519" s="15"/>
      <c r="G519" s="17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3.2" x14ac:dyDescent="0.25">
      <c r="A520" s="16"/>
      <c r="B520" s="16"/>
      <c r="C520" s="15"/>
      <c r="D520" s="15"/>
      <c r="E520" s="15"/>
      <c r="F520" s="15"/>
      <c r="G520" s="17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3.2" x14ac:dyDescent="0.25">
      <c r="A521" s="16"/>
      <c r="B521" s="16"/>
      <c r="C521" s="15"/>
      <c r="D521" s="15"/>
      <c r="E521" s="15"/>
      <c r="F521" s="15"/>
      <c r="G521" s="17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3.2" x14ac:dyDescent="0.25">
      <c r="A522" s="16"/>
      <c r="B522" s="16"/>
      <c r="C522" s="15"/>
      <c r="D522" s="15"/>
      <c r="E522" s="15"/>
      <c r="F522" s="15"/>
      <c r="G522" s="17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3.2" x14ac:dyDescent="0.25">
      <c r="A523" s="16"/>
      <c r="B523" s="16"/>
      <c r="C523" s="15"/>
      <c r="D523" s="15"/>
      <c r="E523" s="15"/>
      <c r="F523" s="15"/>
      <c r="G523" s="17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3.2" x14ac:dyDescent="0.25">
      <c r="A524" s="16"/>
      <c r="B524" s="16"/>
      <c r="C524" s="15"/>
      <c r="D524" s="15"/>
      <c r="E524" s="15"/>
      <c r="F524" s="15"/>
      <c r="G524" s="17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3.2" x14ac:dyDescent="0.25">
      <c r="A525" s="16"/>
      <c r="B525" s="16"/>
      <c r="C525" s="15"/>
      <c r="D525" s="15"/>
      <c r="E525" s="15"/>
      <c r="F525" s="15"/>
      <c r="G525" s="17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3.2" x14ac:dyDescent="0.25">
      <c r="A526" s="16"/>
      <c r="B526" s="16"/>
      <c r="C526" s="15"/>
      <c r="D526" s="15"/>
      <c r="E526" s="15"/>
      <c r="F526" s="15"/>
      <c r="G526" s="17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3.2" x14ac:dyDescent="0.25">
      <c r="A527" s="16"/>
      <c r="B527" s="16"/>
      <c r="C527" s="15"/>
      <c r="D527" s="15"/>
      <c r="E527" s="15"/>
      <c r="F527" s="15"/>
      <c r="G527" s="17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3.2" x14ac:dyDescent="0.25">
      <c r="A528" s="16"/>
      <c r="B528" s="16"/>
      <c r="C528" s="15"/>
      <c r="D528" s="15"/>
      <c r="E528" s="15"/>
      <c r="F528" s="15"/>
      <c r="G528" s="17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3.2" x14ac:dyDescent="0.25">
      <c r="A529" s="16"/>
      <c r="B529" s="16"/>
      <c r="C529" s="15"/>
      <c r="D529" s="15"/>
      <c r="E529" s="15"/>
      <c r="F529" s="15"/>
      <c r="G529" s="17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3.2" x14ac:dyDescent="0.25">
      <c r="A530" s="16"/>
      <c r="B530" s="16"/>
      <c r="C530" s="15"/>
      <c r="D530" s="15"/>
      <c r="E530" s="15"/>
      <c r="F530" s="15"/>
      <c r="G530" s="17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3.2" x14ac:dyDescent="0.25">
      <c r="A531" s="16"/>
      <c r="B531" s="16"/>
      <c r="C531" s="15"/>
      <c r="D531" s="15"/>
      <c r="E531" s="15"/>
      <c r="F531" s="15"/>
      <c r="G531" s="17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3.2" x14ac:dyDescent="0.25">
      <c r="A532" s="16"/>
      <c r="B532" s="16"/>
      <c r="C532" s="15"/>
      <c r="D532" s="15"/>
      <c r="E532" s="15"/>
      <c r="F532" s="15"/>
      <c r="G532" s="17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3.2" x14ac:dyDescent="0.25">
      <c r="A533" s="16"/>
      <c r="B533" s="16"/>
      <c r="C533" s="15"/>
      <c r="D533" s="15"/>
      <c r="E533" s="15"/>
      <c r="F533" s="15"/>
      <c r="G533" s="17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3.2" x14ac:dyDescent="0.25">
      <c r="A534" s="16"/>
      <c r="B534" s="16"/>
      <c r="C534" s="15"/>
      <c r="D534" s="15"/>
      <c r="E534" s="15"/>
      <c r="F534" s="15"/>
      <c r="G534" s="17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3.2" x14ac:dyDescent="0.25">
      <c r="A535" s="16"/>
      <c r="B535" s="16"/>
      <c r="C535" s="15"/>
      <c r="D535" s="15"/>
      <c r="E535" s="15"/>
      <c r="F535" s="15"/>
      <c r="G535" s="17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3.2" x14ac:dyDescent="0.25">
      <c r="A536" s="16"/>
      <c r="B536" s="16"/>
      <c r="C536" s="15"/>
      <c r="D536" s="15"/>
      <c r="E536" s="15"/>
      <c r="F536" s="15"/>
      <c r="G536" s="17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3.2" x14ac:dyDescent="0.25">
      <c r="A537" s="16"/>
      <c r="B537" s="16"/>
      <c r="C537" s="15"/>
      <c r="D537" s="15"/>
      <c r="E537" s="15"/>
      <c r="F537" s="15"/>
      <c r="G537" s="17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3.2" x14ac:dyDescent="0.25">
      <c r="A538" s="16"/>
      <c r="B538" s="16"/>
      <c r="C538" s="15"/>
      <c r="D538" s="15"/>
      <c r="E538" s="15"/>
      <c r="F538" s="15"/>
      <c r="G538" s="17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3.2" x14ac:dyDescent="0.25">
      <c r="A539" s="16"/>
      <c r="B539" s="16"/>
      <c r="C539" s="15"/>
      <c r="D539" s="15"/>
      <c r="E539" s="15"/>
      <c r="F539" s="15"/>
      <c r="G539" s="17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3.2" x14ac:dyDescent="0.25">
      <c r="A540" s="16"/>
      <c r="B540" s="16"/>
      <c r="C540" s="15"/>
      <c r="D540" s="15"/>
      <c r="E540" s="15"/>
      <c r="F540" s="15"/>
      <c r="G540" s="17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3.2" x14ac:dyDescent="0.25">
      <c r="A541" s="16"/>
      <c r="B541" s="16"/>
      <c r="C541" s="15"/>
      <c r="D541" s="15"/>
      <c r="E541" s="15"/>
      <c r="F541" s="15"/>
      <c r="G541" s="17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3.2" x14ac:dyDescent="0.25">
      <c r="A542" s="16"/>
      <c r="B542" s="16"/>
      <c r="C542" s="15"/>
      <c r="D542" s="15"/>
      <c r="E542" s="15"/>
      <c r="F542" s="15"/>
      <c r="G542" s="17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3.2" x14ac:dyDescent="0.25">
      <c r="A543" s="16"/>
      <c r="B543" s="16"/>
      <c r="C543" s="15"/>
      <c r="D543" s="15"/>
      <c r="E543" s="15"/>
      <c r="F543" s="15"/>
      <c r="G543" s="17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3.2" x14ac:dyDescent="0.25">
      <c r="A544" s="16"/>
      <c r="B544" s="16"/>
      <c r="C544" s="15"/>
      <c r="D544" s="15"/>
      <c r="E544" s="15"/>
      <c r="F544" s="15"/>
      <c r="G544" s="17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3.2" x14ac:dyDescent="0.25">
      <c r="A545" s="16"/>
      <c r="B545" s="16"/>
      <c r="C545" s="15"/>
      <c r="D545" s="15"/>
      <c r="E545" s="15"/>
      <c r="F545" s="15"/>
      <c r="G545" s="17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3.2" x14ac:dyDescent="0.25">
      <c r="A546" s="16"/>
      <c r="B546" s="16"/>
      <c r="C546" s="15"/>
      <c r="D546" s="15"/>
      <c r="E546" s="15"/>
      <c r="F546" s="15"/>
      <c r="G546" s="17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3.2" x14ac:dyDescent="0.25">
      <c r="A547" s="16"/>
      <c r="B547" s="16"/>
      <c r="C547" s="15"/>
      <c r="D547" s="15"/>
      <c r="E547" s="15"/>
      <c r="F547" s="15"/>
      <c r="G547" s="17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3.2" x14ac:dyDescent="0.25">
      <c r="A548" s="16"/>
      <c r="B548" s="16"/>
      <c r="C548" s="15"/>
      <c r="D548" s="15"/>
      <c r="E548" s="15"/>
      <c r="F548" s="15"/>
      <c r="G548" s="17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3.2" x14ac:dyDescent="0.25">
      <c r="A549" s="16"/>
      <c r="B549" s="16"/>
      <c r="C549" s="15"/>
      <c r="D549" s="15"/>
      <c r="E549" s="15"/>
      <c r="F549" s="15"/>
      <c r="G549" s="17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3.2" x14ac:dyDescent="0.25">
      <c r="A550" s="16"/>
      <c r="B550" s="16"/>
      <c r="C550" s="15"/>
      <c r="D550" s="15"/>
      <c r="E550" s="15"/>
      <c r="F550" s="15"/>
      <c r="G550" s="17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3.2" x14ac:dyDescent="0.25">
      <c r="A551" s="16"/>
      <c r="B551" s="16"/>
      <c r="C551" s="15"/>
      <c r="D551" s="15"/>
      <c r="E551" s="15"/>
      <c r="F551" s="15"/>
      <c r="G551" s="17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3.2" x14ac:dyDescent="0.25">
      <c r="A552" s="16"/>
      <c r="B552" s="16"/>
      <c r="C552" s="15"/>
      <c r="D552" s="15"/>
      <c r="E552" s="15"/>
      <c r="F552" s="15"/>
      <c r="G552" s="17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3.2" x14ac:dyDescent="0.25">
      <c r="A553" s="16"/>
      <c r="B553" s="16"/>
      <c r="C553" s="15"/>
      <c r="D553" s="15"/>
      <c r="E553" s="15"/>
      <c r="F553" s="15"/>
      <c r="G553" s="17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3.2" x14ac:dyDescent="0.25">
      <c r="A554" s="16"/>
      <c r="B554" s="16"/>
      <c r="C554" s="15"/>
      <c r="D554" s="15"/>
      <c r="E554" s="15"/>
      <c r="F554" s="15"/>
      <c r="G554" s="17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3.2" x14ac:dyDescent="0.25">
      <c r="A555" s="16"/>
      <c r="B555" s="16"/>
      <c r="C555" s="15"/>
      <c r="D555" s="15"/>
      <c r="E555" s="15"/>
      <c r="F555" s="15"/>
      <c r="G555" s="17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3.2" x14ac:dyDescent="0.25">
      <c r="A556" s="16"/>
      <c r="B556" s="16"/>
      <c r="C556" s="15"/>
      <c r="D556" s="15"/>
      <c r="E556" s="15"/>
      <c r="F556" s="15"/>
      <c r="G556" s="17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3.2" x14ac:dyDescent="0.25">
      <c r="A557" s="16"/>
      <c r="B557" s="16"/>
      <c r="C557" s="15"/>
      <c r="D557" s="15"/>
      <c r="E557" s="15"/>
      <c r="F557" s="15"/>
      <c r="G557" s="17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3.2" x14ac:dyDescent="0.25">
      <c r="A558" s="16"/>
      <c r="B558" s="16"/>
      <c r="C558" s="15"/>
      <c r="D558" s="15"/>
      <c r="E558" s="15"/>
      <c r="F558" s="15"/>
      <c r="G558" s="17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3.2" x14ac:dyDescent="0.25">
      <c r="A559" s="16"/>
      <c r="B559" s="16"/>
      <c r="C559" s="15"/>
      <c r="D559" s="15"/>
      <c r="E559" s="15"/>
      <c r="F559" s="15"/>
      <c r="G559" s="17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3.2" x14ac:dyDescent="0.25">
      <c r="A560" s="16"/>
      <c r="B560" s="16"/>
      <c r="C560" s="15"/>
      <c r="D560" s="15"/>
      <c r="E560" s="15"/>
      <c r="F560" s="15"/>
      <c r="G560" s="17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3.2" x14ac:dyDescent="0.25">
      <c r="A561" s="16"/>
      <c r="B561" s="16"/>
      <c r="C561" s="15"/>
      <c r="D561" s="15"/>
      <c r="E561" s="15"/>
      <c r="F561" s="15"/>
      <c r="G561" s="17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3.2" x14ac:dyDescent="0.25">
      <c r="A562" s="16"/>
      <c r="B562" s="16"/>
      <c r="C562" s="15"/>
      <c r="D562" s="15"/>
      <c r="E562" s="15"/>
      <c r="F562" s="15"/>
      <c r="G562" s="17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3.2" x14ac:dyDescent="0.25">
      <c r="A563" s="16"/>
      <c r="B563" s="16"/>
      <c r="C563" s="15"/>
      <c r="D563" s="15"/>
      <c r="E563" s="15"/>
      <c r="F563" s="15"/>
      <c r="G563" s="17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3.2" x14ac:dyDescent="0.25">
      <c r="A564" s="16"/>
      <c r="B564" s="16"/>
      <c r="C564" s="15"/>
      <c r="D564" s="15"/>
      <c r="E564" s="15"/>
      <c r="F564" s="15"/>
      <c r="G564" s="17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3.2" x14ac:dyDescent="0.25">
      <c r="A565" s="16"/>
      <c r="B565" s="16"/>
      <c r="C565" s="15"/>
      <c r="D565" s="15"/>
      <c r="E565" s="15"/>
      <c r="F565" s="15"/>
      <c r="G565" s="17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3.2" x14ac:dyDescent="0.25">
      <c r="A566" s="16"/>
      <c r="B566" s="16"/>
      <c r="C566" s="15"/>
      <c r="D566" s="15"/>
      <c r="E566" s="15"/>
      <c r="F566" s="15"/>
      <c r="G566" s="17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3.2" x14ac:dyDescent="0.25">
      <c r="A567" s="16"/>
      <c r="B567" s="16"/>
      <c r="C567" s="15"/>
      <c r="D567" s="15"/>
      <c r="E567" s="15"/>
      <c r="F567" s="15"/>
      <c r="G567" s="17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3.2" x14ac:dyDescent="0.25">
      <c r="A568" s="16"/>
      <c r="B568" s="16"/>
      <c r="C568" s="15"/>
      <c r="D568" s="15"/>
      <c r="E568" s="15"/>
      <c r="F568" s="15"/>
      <c r="G568" s="17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3.2" x14ac:dyDescent="0.25">
      <c r="A569" s="16"/>
      <c r="B569" s="16"/>
      <c r="C569" s="15"/>
      <c r="D569" s="15"/>
      <c r="E569" s="15"/>
      <c r="F569" s="15"/>
      <c r="G569" s="17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3.2" x14ac:dyDescent="0.25">
      <c r="A570" s="16"/>
      <c r="B570" s="16"/>
      <c r="C570" s="15"/>
      <c r="D570" s="15"/>
      <c r="E570" s="15"/>
      <c r="F570" s="15"/>
      <c r="G570" s="17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3.2" x14ac:dyDescent="0.25">
      <c r="A571" s="16"/>
      <c r="B571" s="16"/>
      <c r="C571" s="15"/>
      <c r="D571" s="15"/>
      <c r="E571" s="15"/>
      <c r="F571" s="15"/>
      <c r="G571" s="17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3.2" x14ac:dyDescent="0.25">
      <c r="A572" s="16"/>
      <c r="B572" s="16"/>
      <c r="C572" s="15"/>
      <c r="D572" s="15"/>
      <c r="E572" s="15"/>
      <c r="F572" s="15"/>
      <c r="G572" s="17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3.2" x14ac:dyDescent="0.25">
      <c r="A573" s="16"/>
      <c r="B573" s="16"/>
      <c r="C573" s="15"/>
      <c r="D573" s="15"/>
      <c r="E573" s="15"/>
      <c r="F573" s="15"/>
      <c r="G573" s="17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3.2" x14ac:dyDescent="0.25">
      <c r="A574" s="16"/>
      <c r="B574" s="16"/>
      <c r="C574" s="15"/>
      <c r="D574" s="15"/>
      <c r="E574" s="15"/>
      <c r="F574" s="15"/>
      <c r="G574" s="17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3.2" x14ac:dyDescent="0.25">
      <c r="A575" s="16"/>
      <c r="B575" s="16"/>
      <c r="C575" s="15"/>
      <c r="D575" s="15"/>
      <c r="E575" s="15"/>
      <c r="F575" s="15"/>
      <c r="G575" s="17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3.2" x14ac:dyDescent="0.25">
      <c r="A576" s="16"/>
      <c r="B576" s="16"/>
      <c r="C576" s="15"/>
      <c r="D576" s="15"/>
      <c r="E576" s="15"/>
      <c r="F576" s="15"/>
      <c r="G576" s="17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3.2" x14ac:dyDescent="0.25">
      <c r="A577" s="16"/>
      <c r="B577" s="16"/>
      <c r="C577" s="15"/>
      <c r="D577" s="15"/>
      <c r="E577" s="15"/>
      <c r="F577" s="15"/>
      <c r="G577" s="17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3.2" x14ac:dyDescent="0.25">
      <c r="A578" s="16"/>
      <c r="B578" s="16"/>
      <c r="C578" s="15"/>
      <c r="D578" s="15"/>
      <c r="E578" s="15"/>
      <c r="F578" s="15"/>
      <c r="G578" s="17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3.2" x14ac:dyDescent="0.25">
      <c r="A579" s="16"/>
      <c r="B579" s="16"/>
      <c r="C579" s="15"/>
      <c r="D579" s="15"/>
      <c r="E579" s="15"/>
      <c r="F579" s="15"/>
      <c r="G579" s="17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3.2" x14ac:dyDescent="0.25">
      <c r="A580" s="16"/>
      <c r="B580" s="16"/>
      <c r="C580" s="15"/>
      <c r="D580" s="15"/>
      <c r="E580" s="15"/>
      <c r="F580" s="15"/>
      <c r="G580" s="17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3.2" x14ac:dyDescent="0.25">
      <c r="A581" s="16"/>
      <c r="B581" s="16"/>
      <c r="C581" s="15"/>
      <c r="D581" s="15"/>
      <c r="E581" s="15"/>
      <c r="F581" s="15"/>
      <c r="G581" s="17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3.2" x14ac:dyDescent="0.25">
      <c r="A582" s="16"/>
      <c r="B582" s="16"/>
      <c r="C582" s="15"/>
      <c r="D582" s="15"/>
      <c r="E582" s="15"/>
      <c r="F582" s="15"/>
      <c r="G582" s="17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3.2" x14ac:dyDescent="0.25">
      <c r="A583" s="16"/>
      <c r="B583" s="16"/>
      <c r="C583" s="15"/>
      <c r="D583" s="15"/>
      <c r="E583" s="15"/>
      <c r="F583" s="15"/>
      <c r="G583" s="17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3.2" x14ac:dyDescent="0.25">
      <c r="A584" s="16"/>
      <c r="B584" s="16"/>
      <c r="C584" s="15"/>
      <c r="D584" s="15"/>
      <c r="E584" s="15"/>
      <c r="F584" s="15"/>
      <c r="G584" s="17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3.2" x14ac:dyDescent="0.25">
      <c r="A585" s="16"/>
      <c r="B585" s="16"/>
      <c r="C585" s="15"/>
      <c r="D585" s="15"/>
      <c r="E585" s="15"/>
      <c r="F585" s="15"/>
      <c r="G585" s="17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3.2" x14ac:dyDescent="0.25">
      <c r="A586" s="16"/>
      <c r="B586" s="16"/>
      <c r="C586" s="15"/>
      <c r="D586" s="15"/>
      <c r="E586" s="15"/>
      <c r="F586" s="15"/>
      <c r="G586" s="17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3.2" x14ac:dyDescent="0.25">
      <c r="A587" s="16"/>
      <c r="B587" s="16"/>
      <c r="C587" s="15"/>
      <c r="D587" s="15"/>
      <c r="E587" s="15"/>
      <c r="F587" s="15"/>
      <c r="G587" s="17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3.2" x14ac:dyDescent="0.25">
      <c r="A588" s="16"/>
      <c r="B588" s="16"/>
      <c r="C588" s="15"/>
      <c r="D588" s="15"/>
      <c r="E588" s="15"/>
      <c r="F588" s="15"/>
      <c r="G588" s="17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3.2" x14ac:dyDescent="0.25">
      <c r="A589" s="16"/>
      <c r="B589" s="16"/>
      <c r="C589" s="15"/>
      <c r="D589" s="15"/>
      <c r="E589" s="15"/>
      <c r="F589" s="15"/>
      <c r="G589" s="17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3.2" x14ac:dyDescent="0.25">
      <c r="A590" s="16"/>
      <c r="B590" s="16"/>
      <c r="C590" s="15"/>
      <c r="D590" s="15"/>
      <c r="E590" s="15"/>
      <c r="F590" s="15"/>
      <c r="G590" s="17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3.2" x14ac:dyDescent="0.25">
      <c r="A591" s="16"/>
      <c r="B591" s="16"/>
      <c r="C591" s="15"/>
      <c r="D591" s="15"/>
      <c r="E591" s="15"/>
      <c r="F591" s="15"/>
      <c r="G591" s="17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3.2" x14ac:dyDescent="0.25">
      <c r="A592" s="16"/>
      <c r="B592" s="16"/>
      <c r="C592" s="15"/>
      <c r="D592" s="15"/>
      <c r="E592" s="15"/>
      <c r="F592" s="15"/>
      <c r="G592" s="17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3.2" x14ac:dyDescent="0.25">
      <c r="A593" s="16"/>
      <c r="B593" s="16"/>
      <c r="C593" s="15"/>
      <c r="D593" s="15"/>
      <c r="E593" s="15"/>
      <c r="F593" s="15"/>
      <c r="G593" s="17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3.2" x14ac:dyDescent="0.25">
      <c r="A594" s="16"/>
      <c r="B594" s="16"/>
      <c r="C594" s="15"/>
      <c r="D594" s="15"/>
      <c r="E594" s="15"/>
      <c r="F594" s="15"/>
      <c r="G594" s="17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3.2" x14ac:dyDescent="0.25">
      <c r="A595" s="16"/>
      <c r="B595" s="16"/>
      <c r="C595" s="15"/>
      <c r="D595" s="15"/>
      <c r="E595" s="15"/>
      <c r="F595" s="15"/>
      <c r="G595" s="17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3.2" x14ac:dyDescent="0.25">
      <c r="A596" s="16"/>
      <c r="B596" s="16"/>
      <c r="C596" s="15"/>
      <c r="D596" s="15"/>
      <c r="E596" s="15"/>
      <c r="F596" s="15"/>
      <c r="G596" s="17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3.2" x14ac:dyDescent="0.25">
      <c r="A597" s="16"/>
      <c r="B597" s="16"/>
      <c r="C597" s="15"/>
      <c r="D597" s="15"/>
      <c r="E597" s="15"/>
      <c r="F597" s="15"/>
      <c r="G597" s="17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3.2" x14ac:dyDescent="0.25">
      <c r="A598" s="16"/>
      <c r="B598" s="16"/>
      <c r="C598" s="15"/>
      <c r="D598" s="15"/>
      <c r="E598" s="15"/>
      <c r="F598" s="15"/>
      <c r="G598" s="17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3.2" x14ac:dyDescent="0.25">
      <c r="A599" s="16"/>
      <c r="B599" s="16"/>
      <c r="C599" s="15"/>
      <c r="D599" s="15"/>
      <c r="E599" s="15"/>
      <c r="F599" s="15"/>
      <c r="G599" s="17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3.2" x14ac:dyDescent="0.25">
      <c r="A600" s="16"/>
      <c r="B600" s="16"/>
      <c r="C600" s="15"/>
      <c r="D600" s="15"/>
      <c r="E600" s="15"/>
      <c r="F600" s="15"/>
      <c r="G600" s="17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3.2" x14ac:dyDescent="0.25">
      <c r="A601" s="16"/>
      <c r="B601" s="16"/>
      <c r="C601" s="15"/>
      <c r="D601" s="15"/>
      <c r="E601" s="15"/>
      <c r="F601" s="15"/>
      <c r="G601" s="17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3.2" x14ac:dyDescent="0.25">
      <c r="A602" s="16"/>
      <c r="B602" s="16"/>
      <c r="C602" s="15"/>
      <c r="D602" s="15"/>
      <c r="E602" s="15"/>
      <c r="F602" s="15"/>
      <c r="G602" s="17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3.2" x14ac:dyDescent="0.25">
      <c r="A603" s="16"/>
      <c r="B603" s="16"/>
      <c r="C603" s="15"/>
      <c r="D603" s="15"/>
      <c r="E603" s="15"/>
      <c r="F603" s="15"/>
      <c r="G603" s="17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3.2" x14ac:dyDescent="0.25">
      <c r="A604" s="16"/>
      <c r="B604" s="16"/>
      <c r="C604" s="15"/>
      <c r="D604" s="15"/>
      <c r="E604" s="15"/>
      <c r="F604" s="15"/>
      <c r="G604" s="17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3.2" x14ac:dyDescent="0.25">
      <c r="A605" s="16"/>
      <c r="B605" s="16"/>
      <c r="C605" s="15"/>
      <c r="D605" s="15"/>
      <c r="E605" s="15"/>
      <c r="F605" s="15"/>
      <c r="G605" s="17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3.2" x14ac:dyDescent="0.25">
      <c r="A606" s="16"/>
      <c r="B606" s="16"/>
      <c r="C606" s="15"/>
      <c r="D606" s="15"/>
      <c r="E606" s="15"/>
      <c r="F606" s="15"/>
      <c r="G606" s="17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3.2" x14ac:dyDescent="0.25">
      <c r="A607" s="16"/>
      <c r="B607" s="16"/>
      <c r="C607" s="15"/>
      <c r="D607" s="15"/>
      <c r="E607" s="15"/>
      <c r="F607" s="15"/>
      <c r="G607" s="17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3.2" x14ac:dyDescent="0.25">
      <c r="A608" s="16"/>
      <c r="B608" s="16"/>
      <c r="C608" s="15"/>
      <c r="D608" s="15"/>
      <c r="E608" s="15"/>
      <c r="F608" s="15"/>
      <c r="G608" s="17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3.2" x14ac:dyDescent="0.25">
      <c r="A609" s="16"/>
      <c r="B609" s="16"/>
      <c r="C609" s="15"/>
      <c r="D609" s="15"/>
      <c r="E609" s="15"/>
      <c r="F609" s="15"/>
      <c r="G609" s="17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3.2" x14ac:dyDescent="0.25">
      <c r="A610" s="16"/>
      <c r="B610" s="16"/>
      <c r="C610" s="15"/>
      <c r="D610" s="15"/>
      <c r="E610" s="15"/>
      <c r="F610" s="15"/>
      <c r="G610" s="17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3.2" x14ac:dyDescent="0.25">
      <c r="A611" s="16"/>
      <c r="B611" s="16"/>
      <c r="C611" s="15"/>
      <c r="D611" s="15"/>
      <c r="E611" s="15"/>
      <c r="F611" s="15"/>
      <c r="G611" s="17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3.2" x14ac:dyDescent="0.25">
      <c r="A612" s="16"/>
      <c r="B612" s="16"/>
      <c r="C612" s="15"/>
      <c r="D612" s="15"/>
      <c r="E612" s="15"/>
      <c r="F612" s="15"/>
      <c r="G612" s="17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3.2" x14ac:dyDescent="0.25">
      <c r="A613" s="16"/>
      <c r="B613" s="16"/>
      <c r="C613" s="15"/>
      <c r="D613" s="15"/>
      <c r="E613" s="15"/>
      <c r="F613" s="15"/>
      <c r="G613" s="17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3.2" x14ac:dyDescent="0.25">
      <c r="A614" s="16"/>
      <c r="B614" s="16"/>
      <c r="C614" s="15"/>
      <c r="D614" s="15"/>
      <c r="E614" s="15"/>
      <c r="F614" s="15"/>
      <c r="G614" s="17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3.2" x14ac:dyDescent="0.25">
      <c r="A615" s="16"/>
      <c r="B615" s="16"/>
      <c r="C615" s="15"/>
      <c r="D615" s="15"/>
      <c r="E615" s="15"/>
      <c r="F615" s="15"/>
      <c r="G615" s="17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3.2" x14ac:dyDescent="0.25">
      <c r="A616" s="16"/>
      <c r="B616" s="16"/>
      <c r="C616" s="15"/>
      <c r="D616" s="15"/>
      <c r="E616" s="15"/>
      <c r="F616" s="15"/>
      <c r="G616" s="17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3.2" x14ac:dyDescent="0.25">
      <c r="A617" s="16"/>
      <c r="B617" s="16"/>
      <c r="C617" s="15"/>
      <c r="D617" s="15"/>
      <c r="E617" s="15"/>
      <c r="F617" s="15"/>
      <c r="G617" s="17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3.2" x14ac:dyDescent="0.25">
      <c r="A618" s="16"/>
      <c r="B618" s="16"/>
      <c r="C618" s="15"/>
      <c r="D618" s="15"/>
      <c r="E618" s="15"/>
      <c r="F618" s="15"/>
      <c r="G618" s="17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3.2" x14ac:dyDescent="0.25">
      <c r="A619" s="16"/>
      <c r="B619" s="16"/>
      <c r="C619" s="15"/>
      <c r="D619" s="15"/>
      <c r="E619" s="15"/>
      <c r="F619" s="15"/>
      <c r="G619" s="17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3.2" x14ac:dyDescent="0.25">
      <c r="A620" s="16"/>
      <c r="B620" s="16"/>
      <c r="C620" s="15"/>
      <c r="D620" s="15"/>
      <c r="E620" s="15"/>
      <c r="F620" s="15"/>
      <c r="G620" s="17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3.2" x14ac:dyDescent="0.25">
      <c r="A621" s="16"/>
      <c r="B621" s="16"/>
      <c r="C621" s="15"/>
      <c r="D621" s="15"/>
      <c r="E621" s="15"/>
      <c r="F621" s="15"/>
      <c r="G621" s="17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3.2" x14ac:dyDescent="0.25">
      <c r="A622" s="16"/>
      <c r="B622" s="16"/>
      <c r="C622" s="15"/>
      <c r="D622" s="15"/>
      <c r="E622" s="15"/>
      <c r="F622" s="15"/>
      <c r="G622" s="17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3.2" x14ac:dyDescent="0.25">
      <c r="A623" s="16"/>
      <c r="B623" s="16"/>
      <c r="C623" s="15"/>
      <c r="D623" s="15"/>
      <c r="E623" s="15"/>
      <c r="F623" s="15"/>
      <c r="G623" s="17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3.2" x14ac:dyDescent="0.25">
      <c r="A624" s="16"/>
      <c r="B624" s="16"/>
      <c r="C624" s="15"/>
      <c r="D624" s="15"/>
      <c r="E624" s="15"/>
      <c r="F624" s="15"/>
      <c r="G624" s="17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3.2" x14ac:dyDescent="0.25">
      <c r="A625" s="16"/>
      <c r="B625" s="16"/>
      <c r="C625" s="15"/>
      <c r="D625" s="15"/>
      <c r="E625" s="15"/>
      <c r="F625" s="15"/>
      <c r="G625" s="17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3.2" x14ac:dyDescent="0.25">
      <c r="A626" s="16"/>
      <c r="B626" s="16"/>
      <c r="C626" s="15"/>
      <c r="D626" s="15"/>
      <c r="E626" s="15"/>
      <c r="F626" s="15"/>
      <c r="G626" s="17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3.2" x14ac:dyDescent="0.25">
      <c r="A627" s="16"/>
      <c r="B627" s="16"/>
      <c r="C627" s="15"/>
      <c r="D627" s="15"/>
      <c r="E627" s="15"/>
      <c r="F627" s="15"/>
      <c r="G627" s="17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3.2" x14ac:dyDescent="0.25">
      <c r="A628" s="16"/>
      <c r="B628" s="16"/>
      <c r="C628" s="15"/>
      <c r="D628" s="15"/>
      <c r="E628" s="15"/>
      <c r="F628" s="15"/>
      <c r="G628" s="17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3.2" x14ac:dyDescent="0.25">
      <c r="A629" s="16"/>
      <c r="B629" s="16"/>
      <c r="C629" s="15"/>
      <c r="D629" s="15"/>
      <c r="E629" s="15"/>
      <c r="F629" s="15"/>
      <c r="G629" s="17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3.2" x14ac:dyDescent="0.25">
      <c r="A630" s="16"/>
      <c r="B630" s="16"/>
      <c r="C630" s="15"/>
      <c r="D630" s="15"/>
      <c r="E630" s="15"/>
      <c r="F630" s="15"/>
      <c r="G630" s="17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3.2" x14ac:dyDescent="0.25">
      <c r="A631" s="16"/>
      <c r="B631" s="16"/>
      <c r="C631" s="15"/>
      <c r="D631" s="15"/>
      <c r="E631" s="15"/>
      <c r="F631" s="15"/>
      <c r="G631" s="17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3.2" x14ac:dyDescent="0.25">
      <c r="A632" s="16"/>
      <c r="B632" s="16"/>
      <c r="C632" s="15"/>
      <c r="D632" s="15"/>
      <c r="E632" s="15"/>
      <c r="F632" s="15"/>
      <c r="G632" s="17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3.2" x14ac:dyDescent="0.25">
      <c r="A633" s="16"/>
      <c r="B633" s="16"/>
      <c r="C633" s="15"/>
      <c r="D633" s="15"/>
      <c r="E633" s="15"/>
      <c r="F633" s="15"/>
      <c r="G633" s="17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3.2" x14ac:dyDescent="0.25">
      <c r="A634" s="16"/>
      <c r="B634" s="16"/>
      <c r="C634" s="15"/>
      <c r="D634" s="15"/>
      <c r="E634" s="15"/>
      <c r="F634" s="15"/>
      <c r="G634" s="17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3.2" x14ac:dyDescent="0.25">
      <c r="A635" s="16"/>
      <c r="B635" s="16"/>
      <c r="C635" s="15"/>
      <c r="D635" s="15"/>
      <c r="E635" s="15"/>
      <c r="F635" s="15"/>
      <c r="G635" s="17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3.2" x14ac:dyDescent="0.25">
      <c r="A636" s="16"/>
      <c r="B636" s="16"/>
      <c r="C636" s="15"/>
      <c r="D636" s="15"/>
      <c r="E636" s="15"/>
      <c r="F636" s="15"/>
      <c r="G636" s="17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3.2" x14ac:dyDescent="0.25">
      <c r="A637" s="16"/>
      <c r="B637" s="16"/>
      <c r="C637" s="15"/>
      <c r="D637" s="15"/>
      <c r="E637" s="15"/>
      <c r="F637" s="15"/>
      <c r="G637" s="17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3.2" x14ac:dyDescent="0.25">
      <c r="A638" s="16"/>
      <c r="B638" s="16"/>
      <c r="C638" s="15"/>
      <c r="D638" s="15"/>
      <c r="E638" s="15"/>
      <c r="F638" s="15"/>
      <c r="G638" s="17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3.2" x14ac:dyDescent="0.25">
      <c r="A639" s="16"/>
      <c r="B639" s="16"/>
      <c r="C639" s="15"/>
      <c r="D639" s="15"/>
      <c r="E639" s="15"/>
      <c r="F639" s="15"/>
      <c r="G639" s="17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3.2" x14ac:dyDescent="0.25">
      <c r="A640" s="16"/>
      <c r="B640" s="16"/>
      <c r="C640" s="15"/>
      <c r="D640" s="15"/>
      <c r="E640" s="15"/>
      <c r="F640" s="15"/>
      <c r="G640" s="17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3.2" x14ac:dyDescent="0.25">
      <c r="A641" s="16"/>
      <c r="B641" s="16"/>
      <c r="C641" s="15"/>
      <c r="D641" s="15"/>
      <c r="E641" s="15"/>
      <c r="F641" s="15"/>
      <c r="G641" s="17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3.2" x14ac:dyDescent="0.25">
      <c r="A642" s="16"/>
      <c r="B642" s="16"/>
      <c r="C642" s="15"/>
      <c r="D642" s="15"/>
      <c r="E642" s="15"/>
      <c r="F642" s="15"/>
      <c r="G642" s="17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3.2" x14ac:dyDescent="0.25">
      <c r="A643" s="16"/>
      <c r="B643" s="16"/>
      <c r="C643" s="15"/>
      <c r="D643" s="15"/>
      <c r="E643" s="15"/>
      <c r="F643" s="15"/>
      <c r="G643" s="17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3.2" x14ac:dyDescent="0.25">
      <c r="A644" s="16"/>
      <c r="B644" s="16"/>
      <c r="C644" s="15"/>
      <c r="D644" s="15"/>
      <c r="E644" s="15"/>
      <c r="F644" s="15"/>
      <c r="G644" s="17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3.2" x14ac:dyDescent="0.25">
      <c r="A645" s="16"/>
      <c r="B645" s="16"/>
      <c r="C645" s="15"/>
      <c r="D645" s="15"/>
      <c r="E645" s="15"/>
      <c r="F645" s="15"/>
      <c r="G645" s="17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3.2" x14ac:dyDescent="0.25">
      <c r="A646" s="16"/>
      <c r="B646" s="16"/>
      <c r="C646" s="15"/>
      <c r="D646" s="15"/>
      <c r="E646" s="15"/>
      <c r="F646" s="15"/>
      <c r="G646" s="17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3.2" x14ac:dyDescent="0.25">
      <c r="A647" s="16"/>
      <c r="B647" s="16"/>
      <c r="C647" s="15"/>
      <c r="D647" s="15"/>
      <c r="E647" s="15"/>
      <c r="F647" s="15"/>
      <c r="G647" s="17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3.2" x14ac:dyDescent="0.25">
      <c r="A648" s="16"/>
      <c r="B648" s="16"/>
      <c r="C648" s="15"/>
      <c r="D648" s="15"/>
      <c r="E648" s="15"/>
      <c r="F648" s="15"/>
      <c r="G648" s="17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3.2" x14ac:dyDescent="0.25">
      <c r="A649" s="16"/>
      <c r="B649" s="16"/>
      <c r="C649" s="15"/>
      <c r="D649" s="15"/>
      <c r="E649" s="15"/>
      <c r="F649" s="15"/>
      <c r="G649" s="17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3.2" x14ac:dyDescent="0.25">
      <c r="A650" s="16"/>
      <c r="B650" s="16"/>
      <c r="C650" s="15"/>
      <c r="D650" s="15"/>
      <c r="E650" s="15"/>
      <c r="F650" s="15"/>
      <c r="G650" s="17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3.2" x14ac:dyDescent="0.25">
      <c r="A651" s="16"/>
      <c r="B651" s="16"/>
      <c r="C651" s="15"/>
      <c r="D651" s="15"/>
      <c r="E651" s="15"/>
      <c r="F651" s="15"/>
      <c r="G651" s="17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3.2" x14ac:dyDescent="0.25">
      <c r="A652" s="16"/>
      <c r="B652" s="16"/>
      <c r="C652" s="15"/>
      <c r="D652" s="15"/>
      <c r="E652" s="15"/>
      <c r="F652" s="15"/>
      <c r="G652" s="17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3.2" x14ac:dyDescent="0.25">
      <c r="A653" s="16"/>
      <c r="B653" s="16"/>
      <c r="C653" s="15"/>
      <c r="D653" s="15"/>
      <c r="E653" s="15"/>
      <c r="F653" s="15"/>
      <c r="G653" s="17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3.2" x14ac:dyDescent="0.25">
      <c r="A654" s="16"/>
      <c r="B654" s="16"/>
      <c r="C654" s="15"/>
      <c r="D654" s="15"/>
      <c r="E654" s="15"/>
      <c r="F654" s="15"/>
      <c r="G654" s="17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3.2" x14ac:dyDescent="0.25">
      <c r="A655" s="16"/>
      <c r="B655" s="16"/>
      <c r="C655" s="15"/>
      <c r="D655" s="15"/>
      <c r="E655" s="15"/>
      <c r="F655" s="15"/>
      <c r="G655" s="17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3.2" x14ac:dyDescent="0.25">
      <c r="A656" s="16"/>
      <c r="B656" s="16"/>
      <c r="C656" s="15"/>
      <c r="D656" s="15"/>
      <c r="E656" s="15"/>
      <c r="F656" s="15"/>
      <c r="G656" s="17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3.2" x14ac:dyDescent="0.25">
      <c r="A657" s="16"/>
      <c r="B657" s="16"/>
      <c r="C657" s="15"/>
      <c r="D657" s="15"/>
      <c r="E657" s="15"/>
      <c r="F657" s="15"/>
      <c r="G657" s="17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3.2" x14ac:dyDescent="0.25">
      <c r="A658" s="16"/>
      <c r="B658" s="16"/>
      <c r="C658" s="15"/>
      <c r="D658" s="15"/>
      <c r="E658" s="15"/>
      <c r="F658" s="15"/>
      <c r="G658" s="17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3.2" x14ac:dyDescent="0.25">
      <c r="A659" s="16"/>
      <c r="B659" s="16"/>
      <c r="C659" s="15"/>
      <c r="D659" s="15"/>
      <c r="E659" s="15"/>
      <c r="F659" s="15"/>
      <c r="G659" s="17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3.2" x14ac:dyDescent="0.25">
      <c r="A660" s="16"/>
      <c r="B660" s="16"/>
      <c r="C660" s="15"/>
      <c r="D660" s="15"/>
      <c r="E660" s="15"/>
      <c r="F660" s="15"/>
      <c r="G660" s="17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3.2" x14ac:dyDescent="0.25">
      <c r="A661" s="16"/>
      <c r="B661" s="16"/>
      <c r="C661" s="15"/>
      <c r="D661" s="15"/>
      <c r="E661" s="15"/>
      <c r="F661" s="15"/>
      <c r="G661" s="17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3.2" x14ac:dyDescent="0.25">
      <c r="A662" s="16"/>
      <c r="B662" s="16"/>
      <c r="C662" s="15"/>
      <c r="D662" s="15"/>
      <c r="E662" s="15"/>
      <c r="F662" s="15"/>
      <c r="G662" s="17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3.2" x14ac:dyDescent="0.25">
      <c r="A663" s="16"/>
      <c r="B663" s="16"/>
      <c r="C663" s="15"/>
      <c r="D663" s="15"/>
      <c r="E663" s="15"/>
      <c r="F663" s="15"/>
      <c r="G663" s="17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3.2" x14ac:dyDescent="0.25">
      <c r="A664" s="16"/>
      <c r="B664" s="16"/>
      <c r="C664" s="15"/>
      <c r="D664" s="15"/>
      <c r="E664" s="15"/>
      <c r="F664" s="15"/>
      <c r="G664" s="17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3.2" x14ac:dyDescent="0.25">
      <c r="A665" s="16"/>
      <c r="B665" s="16"/>
      <c r="C665" s="15"/>
      <c r="D665" s="15"/>
      <c r="E665" s="15"/>
      <c r="F665" s="15"/>
      <c r="G665" s="17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3.2" x14ac:dyDescent="0.25">
      <c r="A666" s="16"/>
      <c r="B666" s="16"/>
      <c r="C666" s="15"/>
      <c r="D666" s="15"/>
      <c r="E666" s="15"/>
      <c r="F666" s="15"/>
      <c r="G666" s="17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3.2" x14ac:dyDescent="0.25">
      <c r="A667" s="16"/>
      <c r="B667" s="16"/>
      <c r="C667" s="15"/>
      <c r="D667" s="15"/>
      <c r="E667" s="15"/>
      <c r="F667" s="15"/>
      <c r="G667" s="17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3.2" x14ac:dyDescent="0.25">
      <c r="A668" s="16"/>
      <c r="B668" s="16"/>
      <c r="C668" s="15"/>
      <c r="D668" s="15"/>
      <c r="E668" s="15"/>
      <c r="F668" s="15"/>
      <c r="G668" s="17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3.2" x14ac:dyDescent="0.25">
      <c r="A669" s="16"/>
      <c r="B669" s="16"/>
      <c r="C669" s="15"/>
      <c r="D669" s="15"/>
      <c r="E669" s="15"/>
      <c r="F669" s="15"/>
      <c r="G669" s="17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3.2" x14ac:dyDescent="0.25">
      <c r="A670" s="16"/>
      <c r="B670" s="16"/>
      <c r="C670" s="15"/>
      <c r="D670" s="15"/>
      <c r="E670" s="15"/>
      <c r="F670" s="15"/>
      <c r="G670" s="17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3.2" x14ac:dyDescent="0.25">
      <c r="A671" s="16"/>
      <c r="B671" s="16"/>
      <c r="C671" s="15"/>
      <c r="D671" s="15"/>
      <c r="E671" s="15"/>
      <c r="F671" s="15"/>
      <c r="G671" s="17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3.2" x14ac:dyDescent="0.25">
      <c r="A672" s="16"/>
      <c r="B672" s="16"/>
      <c r="C672" s="15"/>
      <c r="D672" s="15"/>
      <c r="E672" s="15"/>
      <c r="F672" s="15"/>
      <c r="G672" s="17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3.2" x14ac:dyDescent="0.25">
      <c r="A673" s="16"/>
      <c r="B673" s="16"/>
      <c r="C673" s="15"/>
      <c r="D673" s="15"/>
      <c r="E673" s="15"/>
      <c r="F673" s="15"/>
      <c r="G673" s="17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3.2" x14ac:dyDescent="0.25">
      <c r="A674" s="16"/>
      <c r="B674" s="16"/>
      <c r="C674" s="15"/>
      <c r="D674" s="15"/>
      <c r="E674" s="15"/>
      <c r="F674" s="15"/>
      <c r="G674" s="17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3.2" x14ac:dyDescent="0.25">
      <c r="A675" s="16"/>
      <c r="B675" s="16"/>
      <c r="C675" s="15"/>
      <c r="D675" s="15"/>
      <c r="E675" s="15"/>
      <c r="F675" s="15"/>
      <c r="G675" s="17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3.2" x14ac:dyDescent="0.25">
      <c r="A676" s="16"/>
      <c r="B676" s="16"/>
      <c r="C676" s="15"/>
      <c r="D676" s="15"/>
      <c r="E676" s="15"/>
      <c r="F676" s="15"/>
      <c r="G676" s="17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3.2" x14ac:dyDescent="0.25">
      <c r="A677" s="16"/>
      <c r="B677" s="16"/>
      <c r="C677" s="15"/>
      <c r="D677" s="15"/>
      <c r="E677" s="15"/>
      <c r="F677" s="15"/>
      <c r="G677" s="17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3.2" x14ac:dyDescent="0.25">
      <c r="A678" s="16"/>
      <c r="B678" s="16"/>
      <c r="C678" s="15"/>
      <c r="D678" s="15"/>
      <c r="E678" s="15"/>
      <c r="F678" s="15"/>
      <c r="G678" s="17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3.2" x14ac:dyDescent="0.25">
      <c r="A679" s="16"/>
      <c r="B679" s="16"/>
      <c r="C679" s="15"/>
      <c r="D679" s="15"/>
      <c r="E679" s="15"/>
      <c r="F679" s="15"/>
      <c r="G679" s="17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3.2" x14ac:dyDescent="0.25">
      <c r="A680" s="16"/>
      <c r="B680" s="16"/>
      <c r="C680" s="15"/>
      <c r="D680" s="15"/>
      <c r="E680" s="15"/>
      <c r="F680" s="15"/>
      <c r="G680" s="17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3.2" x14ac:dyDescent="0.25">
      <c r="A681" s="16"/>
      <c r="B681" s="16"/>
      <c r="C681" s="15"/>
      <c r="D681" s="15"/>
      <c r="E681" s="15"/>
      <c r="F681" s="15"/>
      <c r="G681" s="17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3.2" x14ac:dyDescent="0.25">
      <c r="A682" s="16"/>
      <c r="B682" s="16"/>
      <c r="C682" s="15"/>
      <c r="D682" s="15"/>
      <c r="E682" s="15"/>
      <c r="F682" s="15"/>
      <c r="G682" s="17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3.2" x14ac:dyDescent="0.25">
      <c r="A683" s="16"/>
      <c r="B683" s="16"/>
      <c r="C683" s="15"/>
      <c r="D683" s="15"/>
      <c r="E683" s="15"/>
      <c r="F683" s="15"/>
      <c r="G683" s="17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3.2" x14ac:dyDescent="0.25">
      <c r="A684" s="16"/>
      <c r="B684" s="16"/>
      <c r="C684" s="15"/>
      <c r="D684" s="15"/>
      <c r="E684" s="15"/>
      <c r="F684" s="15"/>
      <c r="G684" s="17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3.2" x14ac:dyDescent="0.25">
      <c r="A685" s="16"/>
      <c r="B685" s="16"/>
      <c r="C685" s="15"/>
      <c r="D685" s="15"/>
      <c r="E685" s="15"/>
      <c r="F685" s="15"/>
      <c r="G685" s="17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3.2" x14ac:dyDescent="0.25">
      <c r="A686" s="16"/>
      <c r="B686" s="16"/>
      <c r="C686" s="15"/>
      <c r="D686" s="15"/>
      <c r="E686" s="15"/>
      <c r="F686" s="15"/>
      <c r="G686" s="17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3.2" x14ac:dyDescent="0.25">
      <c r="A687" s="16"/>
      <c r="B687" s="16"/>
      <c r="C687" s="15"/>
      <c r="D687" s="15"/>
      <c r="E687" s="15"/>
      <c r="F687" s="15"/>
      <c r="G687" s="17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3.2" x14ac:dyDescent="0.25">
      <c r="A688" s="16"/>
      <c r="B688" s="16"/>
      <c r="C688" s="15"/>
      <c r="D688" s="15"/>
      <c r="E688" s="15"/>
      <c r="F688" s="15"/>
      <c r="G688" s="17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3.2" x14ac:dyDescent="0.25">
      <c r="A689" s="16"/>
      <c r="B689" s="16"/>
      <c r="C689" s="15"/>
      <c r="D689" s="15"/>
      <c r="E689" s="15"/>
      <c r="F689" s="15"/>
      <c r="G689" s="17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3.2" x14ac:dyDescent="0.25">
      <c r="A690" s="16"/>
      <c r="B690" s="16"/>
      <c r="C690" s="15"/>
      <c r="D690" s="15"/>
      <c r="E690" s="15"/>
      <c r="F690" s="15"/>
      <c r="G690" s="17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3.2" x14ac:dyDescent="0.25">
      <c r="A691" s="16"/>
      <c r="B691" s="16"/>
      <c r="C691" s="15"/>
      <c r="D691" s="15"/>
      <c r="E691" s="15"/>
      <c r="F691" s="15"/>
      <c r="G691" s="17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3.2" x14ac:dyDescent="0.25">
      <c r="A692" s="16"/>
      <c r="B692" s="16"/>
      <c r="C692" s="15"/>
      <c r="D692" s="15"/>
      <c r="E692" s="15"/>
      <c r="F692" s="15"/>
      <c r="G692" s="17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3.2" x14ac:dyDescent="0.25">
      <c r="A693" s="16"/>
      <c r="B693" s="16"/>
      <c r="C693" s="15"/>
      <c r="D693" s="15"/>
      <c r="E693" s="15"/>
      <c r="F693" s="15"/>
      <c r="G693" s="17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3.2" x14ac:dyDescent="0.25">
      <c r="A694" s="16"/>
      <c r="B694" s="16"/>
      <c r="C694" s="15"/>
      <c r="D694" s="15"/>
      <c r="E694" s="15"/>
      <c r="F694" s="15"/>
      <c r="G694" s="17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3.2" x14ac:dyDescent="0.25">
      <c r="A695" s="16"/>
      <c r="B695" s="16"/>
      <c r="C695" s="15"/>
      <c r="D695" s="15"/>
      <c r="E695" s="15"/>
      <c r="F695" s="15"/>
      <c r="G695" s="17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3.2" x14ac:dyDescent="0.25">
      <c r="A696" s="16"/>
      <c r="B696" s="16"/>
      <c r="C696" s="15"/>
      <c r="D696" s="15"/>
      <c r="E696" s="15"/>
      <c r="F696" s="15"/>
      <c r="G696" s="17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3.2" x14ac:dyDescent="0.25">
      <c r="A697" s="16"/>
      <c r="B697" s="16"/>
      <c r="C697" s="15"/>
      <c r="D697" s="15"/>
      <c r="E697" s="15"/>
      <c r="F697" s="15"/>
      <c r="G697" s="17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3.2" x14ac:dyDescent="0.25">
      <c r="A698" s="16"/>
      <c r="B698" s="16"/>
      <c r="C698" s="15"/>
      <c r="D698" s="15"/>
      <c r="E698" s="15"/>
      <c r="F698" s="15"/>
      <c r="G698" s="17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3.2" x14ac:dyDescent="0.25">
      <c r="A699" s="16"/>
      <c r="B699" s="16"/>
      <c r="C699" s="15"/>
      <c r="D699" s="15"/>
      <c r="E699" s="15"/>
      <c r="F699" s="15"/>
      <c r="G699" s="17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3.2" x14ac:dyDescent="0.25">
      <c r="A700" s="16"/>
      <c r="B700" s="16"/>
      <c r="C700" s="15"/>
      <c r="D700" s="15"/>
      <c r="E700" s="15"/>
      <c r="F700" s="15"/>
      <c r="G700" s="17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3.2" x14ac:dyDescent="0.25">
      <c r="A701" s="16"/>
      <c r="B701" s="16"/>
      <c r="C701" s="15"/>
      <c r="D701" s="15"/>
      <c r="E701" s="15"/>
      <c r="F701" s="15"/>
      <c r="G701" s="17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3.2" x14ac:dyDescent="0.25">
      <c r="A702" s="16"/>
      <c r="B702" s="16"/>
      <c r="C702" s="15"/>
      <c r="D702" s="15"/>
      <c r="E702" s="15"/>
      <c r="F702" s="15"/>
      <c r="G702" s="17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3.2" x14ac:dyDescent="0.25">
      <c r="A703" s="16"/>
      <c r="B703" s="16"/>
      <c r="C703" s="15"/>
      <c r="D703" s="15"/>
      <c r="E703" s="15"/>
      <c r="F703" s="15"/>
      <c r="G703" s="17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3.2" x14ac:dyDescent="0.25">
      <c r="A704" s="16"/>
      <c r="B704" s="16"/>
      <c r="C704" s="15"/>
      <c r="D704" s="15"/>
      <c r="E704" s="15"/>
      <c r="F704" s="15"/>
      <c r="G704" s="17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3.2" x14ac:dyDescent="0.25">
      <c r="A705" s="16"/>
      <c r="B705" s="16"/>
      <c r="C705" s="15"/>
      <c r="D705" s="15"/>
      <c r="E705" s="15"/>
      <c r="F705" s="15"/>
      <c r="G705" s="17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3.2" x14ac:dyDescent="0.25">
      <c r="A706" s="16"/>
      <c r="B706" s="16"/>
      <c r="C706" s="15"/>
      <c r="D706" s="15"/>
      <c r="E706" s="15"/>
      <c r="F706" s="15"/>
      <c r="G706" s="17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3.2" x14ac:dyDescent="0.25">
      <c r="A707" s="16"/>
      <c r="B707" s="16"/>
      <c r="C707" s="15"/>
      <c r="D707" s="15"/>
      <c r="E707" s="15"/>
      <c r="F707" s="15"/>
      <c r="G707" s="17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3.2" x14ac:dyDescent="0.25">
      <c r="A708" s="16"/>
      <c r="B708" s="16"/>
      <c r="C708" s="15"/>
      <c r="D708" s="15"/>
      <c r="E708" s="15"/>
      <c r="F708" s="15"/>
      <c r="G708" s="17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3.2" x14ac:dyDescent="0.25">
      <c r="A709" s="16"/>
      <c r="B709" s="16"/>
      <c r="C709" s="15"/>
      <c r="D709" s="15"/>
      <c r="E709" s="15"/>
      <c r="F709" s="15"/>
      <c r="G709" s="17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3.2" x14ac:dyDescent="0.25">
      <c r="A710" s="16"/>
      <c r="B710" s="16"/>
      <c r="C710" s="15"/>
      <c r="D710" s="15"/>
      <c r="E710" s="15"/>
      <c r="F710" s="15"/>
      <c r="G710" s="17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3.2" x14ac:dyDescent="0.25">
      <c r="A711" s="16"/>
      <c r="B711" s="16"/>
      <c r="C711" s="15"/>
      <c r="D711" s="15"/>
      <c r="E711" s="15"/>
      <c r="F711" s="15"/>
      <c r="G711" s="17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3.2" x14ac:dyDescent="0.25">
      <c r="A712" s="16"/>
      <c r="B712" s="16"/>
      <c r="C712" s="15"/>
      <c r="D712" s="15"/>
      <c r="E712" s="15"/>
      <c r="F712" s="15"/>
      <c r="G712" s="17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3.2" x14ac:dyDescent="0.25">
      <c r="A713" s="16"/>
      <c r="B713" s="16"/>
      <c r="C713" s="15"/>
      <c r="D713" s="15"/>
      <c r="E713" s="15"/>
      <c r="F713" s="15"/>
      <c r="G713" s="17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3.2" x14ac:dyDescent="0.25">
      <c r="A714" s="16"/>
      <c r="B714" s="16"/>
      <c r="C714" s="15"/>
      <c r="D714" s="15"/>
      <c r="E714" s="15"/>
      <c r="F714" s="15"/>
      <c r="G714" s="17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3.2" x14ac:dyDescent="0.25">
      <c r="A715" s="16"/>
      <c r="B715" s="16"/>
      <c r="C715" s="15"/>
      <c r="D715" s="15"/>
      <c r="E715" s="15"/>
      <c r="F715" s="15"/>
      <c r="G715" s="17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3.2" x14ac:dyDescent="0.25">
      <c r="A716" s="16"/>
      <c r="B716" s="16"/>
      <c r="C716" s="15"/>
      <c r="D716" s="15"/>
      <c r="E716" s="15"/>
      <c r="F716" s="15"/>
      <c r="G716" s="17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3.2" x14ac:dyDescent="0.25">
      <c r="A717" s="16"/>
      <c r="B717" s="16"/>
      <c r="C717" s="15"/>
      <c r="D717" s="15"/>
      <c r="E717" s="15"/>
      <c r="F717" s="15"/>
      <c r="G717" s="17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3.2" x14ac:dyDescent="0.25">
      <c r="A718" s="16"/>
      <c r="B718" s="16"/>
      <c r="C718" s="15"/>
      <c r="D718" s="15"/>
      <c r="E718" s="15"/>
      <c r="F718" s="15"/>
      <c r="G718" s="17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3.2" x14ac:dyDescent="0.25">
      <c r="A719" s="16"/>
      <c r="B719" s="16"/>
      <c r="C719" s="15"/>
      <c r="D719" s="15"/>
      <c r="E719" s="15"/>
      <c r="F719" s="15"/>
      <c r="G719" s="17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3.2" x14ac:dyDescent="0.25">
      <c r="A720" s="16"/>
      <c r="B720" s="16"/>
      <c r="C720" s="15"/>
      <c r="D720" s="15"/>
      <c r="E720" s="15"/>
      <c r="F720" s="15"/>
      <c r="G720" s="17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3.2" x14ac:dyDescent="0.25">
      <c r="A721" s="16"/>
      <c r="B721" s="16"/>
      <c r="C721" s="15"/>
      <c r="D721" s="15"/>
      <c r="E721" s="15"/>
      <c r="F721" s="15"/>
      <c r="G721" s="17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3.2" x14ac:dyDescent="0.25">
      <c r="A722" s="16"/>
      <c r="B722" s="16"/>
      <c r="C722" s="15"/>
      <c r="D722" s="15"/>
      <c r="E722" s="15"/>
      <c r="F722" s="15"/>
      <c r="G722" s="17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3.2" x14ac:dyDescent="0.25">
      <c r="A723" s="16"/>
      <c r="B723" s="16"/>
      <c r="C723" s="15"/>
      <c r="D723" s="15"/>
      <c r="E723" s="15"/>
      <c r="F723" s="15"/>
      <c r="G723" s="17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3.2" x14ac:dyDescent="0.25">
      <c r="A724" s="16"/>
      <c r="B724" s="16"/>
      <c r="C724" s="15"/>
      <c r="D724" s="15"/>
      <c r="E724" s="15"/>
      <c r="F724" s="15"/>
      <c r="G724" s="17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3.2" x14ac:dyDescent="0.25">
      <c r="A725" s="16"/>
      <c r="B725" s="16"/>
      <c r="C725" s="15"/>
      <c r="D725" s="15"/>
      <c r="E725" s="15"/>
      <c r="F725" s="15"/>
      <c r="G725" s="17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3.2" x14ac:dyDescent="0.25">
      <c r="A726" s="16"/>
      <c r="B726" s="16"/>
      <c r="C726" s="15"/>
      <c r="D726" s="15"/>
      <c r="E726" s="15"/>
      <c r="F726" s="15"/>
      <c r="G726" s="17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3.2" x14ac:dyDescent="0.25">
      <c r="A727" s="16"/>
      <c r="B727" s="16"/>
      <c r="C727" s="15"/>
      <c r="D727" s="15"/>
      <c r="E727" s="15"/>
      <c r="F727" s="15"/>
      <c r="G727" s="17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3.2" x14ac:dyDescent="0.25">
      <c r="A728" s="16"/>
      <c r="B728" s="16"/>
      <c r="C728" s="15"/>
      <c r="D728" s="15"/>
      <c r="E728" s="15"/>
      <c r="F728" s="15"/>
      <c r="G728" s="17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3.2" x14ac:dyDescent="0.25">
      <c r="A729" s="16"/>
      <c r="B729" s="16"/>
      <c r="C729" s="15"/>
      <c r="D729" s="15"/>
      <c r="E729" s="15"/>
      <c r="F729" s="15"/>
      <c r="G729" s="17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3.2" x14ac:dyDescent="0.25">
      <c r="A730" s="16"/>
      <c r="B730" s="16"/>
      <c r="C730" s="15"/>
      <c r="D730" s="15"/>
      <c r="E730" s="15"/>
      <c r="F730" s="15"/>
      <c r="G730" s="17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3.2" x14ac:dyDescent="0.25">
      <c r="A731" s="16"/>
      <c r="B731" s="16"/>
      <c r="C731" s="15"/>
      <c r="D731" s="15"/>
      <c r="E731" s="15"/>
      <c r="F731" s="15"/>
      <c r="G731" s="17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3.2" x14ac:dyDescent="0.25">
      <c r="A732" s="16"/>
      <c r="B732" s="16"/>
      <c r="C732" s="15"/>
      <c r="D732" s="15"/>
      <c r="E732" s="15"/>
      <c r="F732" s="15"/>
      <c r="G732" s="17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3.2" x14ac:dyDescent="0.25">
      <c r="A733" s="16"/>
      <c r="B733" s="16"/>
      <c r="C733" s="15"/>
      <c r="D733" s="15"/>
      <c r="E733" s="15"/>
      <c r="F733" s="15"/>
      <c r="G733" s="17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3.2" x14ac:dyDescent="0.25">
      <c r="A734" s="16"/>
      <c r="B734" s="16"/>
      <c r="C734" s="15"/>
      <c r="D734" s="15"/>
      <c r="E734" s="15"/>
      <c r="F734" s="15"/>
      <c r="G734" s="17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3.2" x14ac:dyDescent="0.25">
      <c r="A735" s="16"/>
      <c r="B735" s="16"/>
      <c r="C735" s="15"/>
      <c r="D735" s="15"/>
      <c r="E735" s="15"/>
      <c r="F735" s="15"/>
      <c r="G735" s="17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3.2" x14ac:dyDescent="0.25">
      <c r="A736" s="16"/>
      <c r="B736" s="16"/>
      <c r="C736" s="15"/>
      <c r="D736" s="15"/>
      <c r="E736" s="15"/>
      <c r="F736" s="15"/>
      <c r="G736" s="17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3.2" x14ac:dyDescent="0.25">
      <c r="A737" s="16"/>
      <c r="B737" s="16"/>
      <c r="C737" s="15"/>
      <c r="D737" s="15"/>
      <c r="E737" s="15"/>
      <c r="F737" s="15"/>
      <c r="G737" s="17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3.2" x14ac:dyDescent="0.25">
      <c r="A738" s="16"/>
      <c r="B738" s="16"/>
      <c r="C738" s="15"/>
      <c r="D738" s="15"/>
      <c r="E738" s="15"/>
      <c r="F738" s="15"/>
      <c r="G738" s="17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3.2" x14ac:dyDescent="0.25">
      <c r="A739" s="16"/>
      <c r="B739" s="16"/>
      <c r="C739" s="15"/>
      <c r="D739" s="15"/>
      <c r="E739" s="15"/>
      <c r="F739" s="15"/>
      <c r="G739" s="17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3.2" x14ac:dyDescent="0.25">
      <c r="A740" s="16"/>
      <c r="B740" s="16"/>
      <c r="C740" s="15"/>
      <c r="D740" s="15"/>
      <c r="E740" s="15"/>
      <c r="F740" s="15"/>
      <c r="G740" s="17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3.2" x14ac:dyDescent="0.25">
      <c r="A741" s="16"/>
      <c r="B741" s="16"/>
      <c r="C741" s="15"/>
      <c r="D741" s="15"/>
      <c r="E741" s="15"/>
      <c r="F741" s="15"/>
      <c r="G741" s="17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3.2" x14ac:dyDescent="0.25">
      <c r="A742" s="16"/>
      <c r="B742" s="16"/>
      <c r="C742" s="15"/>
      <c r="D742" s="15"/>
      <c r="E742" s="15"/>
      <c r="F742" s="15"/>
      <c r="G742" s="17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3.2" x14ac:dyDescent="0.25">
      <c r="A743" s="16"/>
      <c r="B743" s="16"/>
      <c r="C743" s="15"/>
      <c r="D743" s="15"/>
      <c r="E743" s="15"/>
      <c r="F743" s="15"/>
      <c r="G743" s="17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3.2" x14ac:dyDescent="0.25">
      <c r="A744" s="16"/>
      <c r="B744" s="16"/>
      <c r="C744" s="15"/>
      <c r="D744" s="15"/>
      <c r="E744" s="15"/>
      <c r="F744" s="15"/>
      <c r="G744" s="17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3.2" x14ac:dyDescent="0.25">
      <c r="A745" s="16"/>
      <c r="B745" s="16"/>
      <c r="C745" s="15"/>
      <c r="D745" s="15"/>
      <c r="E745" s="15"/>
      <c r="F745" s="15"/>
      <c r="G745" s="17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3.2" x14ac:dyDescent="0.25">
      <c r="A746" s="16"/>
      <c r="B746" s="16"/>
      <c r="C746" s="15"/>
      <c r="D746" s="15"/>
      <c r="E746" s="15"/>
      <c r="F746" s="15"/>
      <c r="G746" s="17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3.2" x14ac:dyDescent="0.25">
      <c r="A747" s="16"/>
      <c r="B747" s="16"/>
      <c r="C747" s="15"/>
      <c r="D747" s="15"/>
      <c r="E747" s="15"/>
      <c r="F747" s="15"/>
      <c r="G747" s="17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3.2" x14ac:dyDescent="0.25">
      <c r="A748" s="16"/>
      <c r="B748" s="16"/>
      <c r="C748" s="15"/>
      <c r="D748" s="15"/>
      <c r="E748" s="15"/>
      <c r="F748" s="15"/>
      <c r="G748" s="17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3.2" x14ac:dyDescent="0.25">
      <c r="A749" s="16"/>
      <c r="B749" s="16"/>
      <c r="C749" s="15"/>
      <c r="D749" s="15"/>
      <c r="E749" s="15"/>
      <c r="F749" s="15"/>
      <c r="G749" s="17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3.2" x14ac:dyDescent="0.25">
      <c r="A750" s="16"/>
      <c r="B750" s="16"/>
      <c r="C750" s="15"/>
      <c r="D750" s="15"/>
      <c r="E750" s="15"/>
      <c r="F750" s="15"/>
      <c r="G750" s="17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3.2" x14ac:dyDescent="0.25">
      <c r="A751" s="16"/>
      <c r="B751" s="16"/>
      <c r="C751" s="15"/>
      <c r="D751" s="15"/>
      <c r="E751" s="15"/>
      <c r="F751" s="15"/>
      <c r="G751" s="17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3.2" x14ac:dyDescent="0.25">
      <c r="A752" s="16"/>
      <c r="B752" s="16"/>
      <c r="C752" s="15"/>
      <c r="D752" s="15"/>
      <c r="E752" s="15"/>
      <c r="F752" s="15"/>
      <c r="G752" s="17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3.2" x14ac:dyDescent="0.25">
      <c r="A753" s="16"/>
      <c r="B753" s="16"/>
      <c r="C753" s="15"/>
      <c r="D753" s="15"/>
      <c r="E753" s="15"/>
      <c r="F753" s="15"/>
      <c r="G753" s="17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3.2" x14ac:dyDescent="0.25">
      <c r="A754" s="16"/>
      <c r="B754" s="16"/>
      <c r="C754" s="15"/>
      <c r="D754" s="15"/>
      <c r="E754" s="15"/>
      <c r="F754" s="15"/>
      <c r="G754" s="17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3.2" x14ac:dyDescent="0.25">
      <c r="A755" s="16"/>
      <c r="B755" s="16"/>
      <c r="C755" s="15"/>
      <c r="D755" s="15"/>
      <c r="E755" s="15"/>
      <c r="F755" s="15"/>
      <c r="G755" s="17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3.2" x14ac:dyDescent="0.25">
      <c r="A756" s="16"/>
      <c r="B756" s="16"/>
      <c r="C756" s="15"/>
      <c r="D756" s="15"/>
      <c r="E756" s="15"/>
      <c r="F756" s="15"/>
      <c r="G756" s="17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3.2" x14ac:dyDescent="0.25">
      <c r="A757" s="16"/>
      <c r="B757" s="16"/>
      <c r="C757" s="15"/>
      <c r="D757" s="15"/>
      <c r="E757" s="15"/>
      <c r="F757" s="15"/>
      <c r="G757" s="17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3.2" x14ac:dyDescent="0.25">
      <c r="A758" s="16"/>
      <c r="B758" s="16"/>
      <c r="C758" s="15"/>
      <c r="D758" s="15"/>
      <c r="E758" s="15"/>
      <c r="F758" s="15"/>
      <c r="G758" s="17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3.2" x14ac:dyDescent="0.25">
      <c r="A759" s="16"/>
      <c r="B759" s="16"/>
      <c r="C759" s="15"/>
      <c r="D759" s="15"/>
      <c r="E759" s="15"/>
      <c r="F759" s="15"/>
      <c r="G759" s="17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3.2" x14ac:dyDescent="0.25">
      <c r="A760" s="16"/>
      <c r="B760" s="16"/>
      <c r="C760" s="15"/>
      <c r="D760" s="15"/>
      <c r="E760" s="15"/>
      <c r="F760" s="15"/>
      <c r="G760" s="17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3.2" x14ac:dyDescent="0.25">
      <c r="A761" s="16"/>
      <c r="B761" s="16"/>
      <c r="C761" s="15"/>
      <c r="D761" s="15"/>
      <c r="E761" s="15"/>
      <c r="F761" s="15"/>
      <c r="G761" s="17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3.2" x14ac:dyDescent="0.25">
      <c r="A762" s="16"/>
      <c r="B762" s="16"/>
      <c r="C762" s="15"/>
      <c r="D762" s="15"/>
      <c r="E762" s="15"/>
      <c r="F762" s="15"/>
      <c r="G762" s="17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3.2" x14ac:dyDescent="0.25">
      <c r="A763" s="16"/>
      <c r="B763" s="16"/>
      <c r="C763" s="15"/>
      <c r="D763" s="15"/>
      <c r="E763" s="15"/>
      <c r="F763" s="15"/>
      <c r="G763" s="17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3.2" x14ac:dyDescent="0.25">
      <c r="A764" s="16"/>
      <c r="B764" s="16"/>
      <c r="C764" s="15"/>
      <c r="D764" s="15"/>
      <c r="E764" s="15"/>
      <c r="F764" s="15"/>
      <c r="G764" s="17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3.2" x14ac:dyDescent="0.25">
      <c r="A765" s="16"/>
      <c r="B765" s="16"/>
      <c r="C765" s="15"/>
      <c r="D765" s="15"/>
      <c r="E765" s="15"/>
      <c r="F765" s="15"/>
      <c r="G765" s="17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3.2" x14ac:dyDescent="0.25">
      <c r="A766" s="16"/>
      <c r="B766" s="16"/>
      <c r="C766" s="15"/>
      <c r="D766" s="15"/>
      <c r="E766" s="15"/>
      <c r="F766" s="15"/>
      <c r="G766" s="17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3.2" x14ac:dyDescent="0.25">
      <c r="A767" s="16"/>
      <c r="B767" s="16"/>
      <c r="C767" s="15"/>
      <c r="D767" s="15"/>
      <c r="E767" s="15"/>
      <c r="F767" s="15"/>
      <c r="G767" s="17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3.2" x14ac:dyDescent="0.25">
      <c r="A768" s="16"/>
      <c r="B768" s="16"/>
      <c r="C768" s="15"/>
      <c r="D768" s="15"/>
      <c r="E768" s="15"/>
      <c r="F768" s="15"/>
      <c r="G768" s="17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3.2" x14ac:dyDescent="0.25">
      <c r="A769" s="16"/>
      <c r="B769" s="16"/>
      <c r="C769" s="15"/>
      <c r="D769" s="15"/>
      <c r="E769" s="15"/>
      <c r="F769" s="15"/>
      <c r="G769" s="17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3.2" x14ac:dyDescent="0.25">
      <c r="A770" s="16"/>
      <c r="B770" s="16"/>
      <c r="C770" s="15"/>
      <c r="D770" s="15"/>
      <c r="E770" s="15"/>
      <c r="F770" s="15"/>
      <c r="G770" s="17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3.2" x14ac:dyDescent="0.25">
      <c r="A771" s="16"/>
      <c r="B771" s="16"/>
      <c r="C771" s="15"/>
      <c r="D771" s="15"/>
      <c r="E771" s="15"/>
      <c r="F771" s="15"/>
      <c r="G771" s="17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3.2" x14ac:dyDescent="0.25">
      <c r="A772" s="16"/>
      <c r="B772" s="16"/>
      <c r="C772" s="15"/>
      <c r="D772" s="15"/>
      <c r="E772" s="15"/>
      <c r="F772" s="15"/>
      <c r="G772" s="17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3.2" x14ac:dyDescent="0.25">
      <c r="A773" s="16"/>
      <c r="B773" s="16"/>
      <c r="C773" s="15"/>
      <c r="D773" s="15"/>
      <c r="E773" s="15"/>
      <c r="F773" s="15"/>
      <c r="G773" s="17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3.2" x14ac:dyDescent="0.25">
      <c r="A774" s="16"/>
      <c r="B774" s="16"/>
      <c r="C774" s="15"/>
      <c r="D774" s="15"/>
      <c r="E774" s="15"/>
      <c r="F774" s="15"/>
      <c r="G774" s="17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3.2" x14ac:dyDescent="0.25">
      <c r="A775" s="16"/>
      <c r="B775" s="16"/>
      <c r="C775" s="15"/>
      <c r="D775" s="15"/>
      <c r="E775" s="15"/>
      <c r="F775" s="15"/>
      <c r="G775" s="17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3.2" x14ac:dyDescent="0.25">
      <c r="A776" s="16"/>
      <c r="B776" s="16"/>
      <c r="C776" s="15"/>
      <c r="D776" s="15"/>
      <c r="E776" s="15"/>
      <c r="F776" s="15"/>
      <c r="G776" s="17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3.2" x14ac:dyDescent="0.25">
      <c r="A777" s="16"/>
      <c r="B777" s="16"/>
      <c r="C777" s="15"/>
      <c r="D777" s="15"/>
      <c r="E777" s="15"/>
      <c r="F777" s="15"/>
      <c r="G777" s="17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3.2" x14ac:dyDescent="0.25">
      <c r="A778" s="16"/>
      <c r="B778" s="16"/>
      <c r="C778" s="15"/>
      <c r="D778" s="15"/>
      <c r="E778" s="15"/>
      <c r="F778" s="15"/>
      <c r="G778" s="17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3.2" x14ac:dyDescent="0.25">
      <c r="A779" s="16"/>
      <c r="B779" s="16"/>
      <c r="C779" s="15"/>
      <c r="D779" s="15"/>
      <c r="E779" s="15"/>
      <c r="F779" s="15"/>
      <c r="G779" s="17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3.2" x14ac:dyDescent="0.25">
      <c r="A780" s="16"/>
      <c r="B780" s="16"/>
      <c r="C780" s="15"/>
      <c r="D780" s="15"/>
      <c r="E780" s="15"/>
      <c r="F780" s="15"/>
      <c r="G780" s="17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3.2" x14ac:dyDescent="0.25">
      <c r="A781" s="16"/>
      <c r="B781" s="16"/>
      <c r="C781" s="15"/>
      <c r="D781" s="15"/>
      <c r="E781" s="15"/>
      <c r="F781" s="15"/>
      <c r="G781" s="17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3.2" x14ac:dyDescent="0.25">
      <c r="A782" s="16"/>
      <c r="B782" s="16"/>
      <c r="C782" s="15"/>
      <c r="D782" s="15"/>
      <c r="E782" s="15"/>
      <c r="F782" s="15"/>
      <c r="G782" s="17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3.2" x14ac:dyDescent="0.25">
      <c r="A783" s="16"/>
      <c r="B783" s="16"/>
      <c r="C783" s="15"/>
      <c r="D783" s="15"/>
      <c r="E783" s="15"/>
      <c r="F783" s="15"/>
      <c r="G783" s="17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3.2" x14ac:dyDescent="0.25">
      <c r="A784" s="16"/>
      <c r="B784" s="16"/>
      <c r="C784" s="15"/>
      <c r="D784" s="15"/>
      <c r="E784" s="15"/>
      <c r="F784" s="15"/>
      <c r="G784" s="17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3.2" x14ac:dyDescent="0.25">
      <c r="A785" s="16"/>
      <c r="B785" s="16"/>
      <c r="C785" s="15"/>
      <c r="D785" s="15"/>
      <c r="E785" s="15"/>
      <c r="F785" s="15"/>
      <c r="G785" s="17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3.2" x14ac:dyDescent="0.25">
      <c r="A786" s="16"/>
      <c r="B786" s="16"/>
      <c r="C786" s="15"/>
      <c r="D786" s="15"/>
      <c r="E786" s="15"/>
      <c r="F786" s="15"/>
      <c r="G786" s="17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3.2" x14ac:dyDescent="0.25">
      <c r="A787" s="16"/>
      <c r="B787" s="16"/>
      <c r="C787" s="15"/>
      <c r="D787" s="15"/>
      <c r="E787" s="15"/>
      <c r="F787" s="15"/>
      <c r="G787" s="17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3.2" x14ac:dyDescent="0.25">
      <c r="A788" s="16"/>
      <c r="B788" s="16"/>
      <c r="C788" s="15"/>
      <c r="D788" s="15"/>
      <c r="E788" s="15"/>
      <c r="F788" s="15"/>
      <c r="G788" s="17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3.2" x14ac:dyDescent="0.25">
      <c r="A789" s="16"/>
      <c r="B789" s="16"/>
      <c r="C789" s="15"/>
      <c r="D789" s="15"/>
      <c r="E789" s="15"/>
      <c r="F789" s="15"/>
      <c r="G789" s="17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3.2" x14ac:dyDescent="0.25">
      <c r="A790" s="16"/>
      <c r="B790" s="16"/>
      <c r="C790" s="15"/>
      <c r="D790" s="15"/>
      <c r="E790" s="15"/>
      <c r="F790" s="15"/>
      <c r="G790" s="17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3.2" x14ac:dyDescent="0.25">
      <c r="A791" s="16"/>
      <c r="B791" s="16"/>
      <c r="C791" s="15"/>
      <c r="D791" s="15"/>
      <c r="E791" s="15"/>
      <c r="F791" s="15"/>
      <c r="G791" s="17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3.2" x14ac:dyDescent="0.25">
      <c r="A792" s="16"/>
      <c r="B792" s="16"/>
      <c r="C792" s="15"/>
      <c r="D792" s="15"/>
      <c r="E792" s="15"/>
      <c r="F792" s="15"/>
      <c r="G792" s="17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3.2" x14ac:dyDescent="0.25">
      <c r="A793" s="16"/>
      <c r="B793" s="16"/>
      <c r="C793" s="15"/>
      <c r="D793" s="15"/>
      <c r="E793" s="15"/>
      <c r="F793" s="15"/>
      <c r="G793" s="17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3.2" x14ac:dyDescent="0.25">
      <c r="A794" s="16"/>
      <c r="B794" s="16"/>
      <c r="C794" s="15"/>
      <c r="D794" s="15"/>
      <c r="E794" s="15"/>
      <c r="F794" s="15"/>
      <c r="G794" s="17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3.2" x14ac:dyDescent="0.25">
      <c r="A795" s="16"/>
      <c r="B795" s="16"/>
      <c r="C795" s="15"/>
      <c r="D795" s="15"/>
      <c r="E795" s="15"/>
      <c r="F795" s="15"/>
      <c r="G795" s="17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3.2" x14ac:dyDescent="0.25">
      <c r="A796" s="16"/>
      <c r="B796" s="16"/>
      <c r="C796" s="15"/>
      <c r="D796" s="15"/>
      <c r="E796" s="15"/>
      <c r="F796" s="15"/>
      <c r="G796" s="17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3.2" x14ac:dyDescent="0.25">
      <c r="A797" s="16"/>
      <c r="B797" s="16"/>
      <c r="C797" s="15"/>
      <c r="D797" s="15"/>
      <c r="E797" s="15"/>
      <c r="F797" s="15"/>
      <c r="G797" s="17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3.2" x14ac:dyDescent="0.25">
      <c r="A798" s="16"/>
      <c r="B798" s="16"/>
      <c r="C798" s="15"/>
      <c r="D798" s="15"/>
      <c r="E798" s="15"/>
      <c r="F798" s="15"/>
      <c r="G798" s="17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3.2" x14ac:dyDescent="0.25">
      <c r="A799" s="16"/>
      <c r="B799" s="16"/>
      <c r="C799" s="15"/>
      <c r="D799" s="15"/>
      <c r="E799" s="15"/>
      <c r="F799" s="15"/>
      <c r="G799" s="17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3.2" x14ac:dyDescent="0.25">
      <c r="A800" s="16"/>
      <c r="B800" s="16"/>
      <c r="C800" s="15"/>
      <c r="D800" s="15"/>
      <c r="E800" s="15"/>
      <c r="F800" s="15"/>
      <c r="G800" s="17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3.2" x14ac:dyDescent="0.25">
      <c r="A801" s="16"/>
      <c r="B801" s="16"/>
      <c r="C801" s="15"/>
      <c r="D801" s="15"/>
      <c r="E801" s="15"/>
      <c r="F801" s="15"/>
      <c r="G801" s="17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3.2" x14ac:dyDescent="0.25">
      <c r="A802" s="16"/>
      <c r="B802" s="16"/>
      <c r="C802" s="15"/>
      <c r="D802" s="15"/>
      <c r="E802" s="15"/>
      <c r="F802" s="15"/>
      <c r="G802" s="17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3.2" x14ac:dyDescent="0.25">
      <c r="A803" s="16"/>
      <c r="B803" s="16"/>
      <c r="C803" s="15"/>
      <c r="D803" s="15"/>
      <c r="E803" s="15"/>
      <c r="F803" s="15"/>
      <c r="G803" s="17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3.2" x14ac:dyDescent="0.25">
      <c r="A804" s="16"/>
      <c r="B804" s="16"/>
      <c r="C804" s="15"/>
      <c r="D804" s="15"/>
      <c r="E804" s="15"/>
      <c r="F804" s="15"/>
      <c r="G804" s="17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3.2" x14ac:dyDescent="0.25">
      <c r="A805" s="16"/>
      <c r="B805" s="16"/>
      <c r="C805" s="15"/>
      <c r="D805" s="15"/>
      <c r="E805" s="15"/>
      <c r="F805" s="15"/>
      <c r="G805" s="17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3.2" x14ac:dyDescent="0.25">
      <c r="A806" s="16"/>
      <c r="B806" s="16"/>
      <c r="C806" s="15"/>
      <c r="D806" s="15"/>
      <c r="E806" s="15"/>
      <c r="F806" s="15"/>
      <c r="G806" s="17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3.2" x14ac:dyDescent="0.25">
      <c r="A807" s="16"/>
      <c r="B807" s="16"/>
      <c r="C807" s="15"/>
      <c r="D807" s="15"/>
      <c r="E807" s="15"/>
      <c r="F807" s="15"/>
      <c r="G807" s="17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3.2" x14ac:dyDescent="0.25">
      <c r="A808" s="16"/>
      <c r="B808" s="16"/>
      <c r="C808" s="15"/>
      <c r="D808" s="15"/>
      <c r="E808" s="15"/>
      <c r="F808" s="15"/>
      <c r="G808" s="17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3.2" x14ac:dyDescent="0.25">
      <c r="A809" s="16"/>
      <c r="B809" s="16"/>
      <c r="C809" s="15"/>
      <c r="D809" s="15"/>
      <c r="E809" s="15"/>
      <c r="F809" s="15"/>
      <c r="G809" s="17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3.2" x14ac:dyDescent="0.25">
      <c r="A810" s="16"/>
      <c r="B810" s="16"/>
      <c r="C810" s="15"/>
      <c r="D810" s="15"/>
      <c r="E810" s="15"/>
      <c r="F810" s="15"/>
      <c r="G810" s="17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3.2" x14ac:dyDescent="0.25">
      <c r="A811" s="16"/>
      <c r="B811" s="16"/>
      <c r="C811" s="15"/>
      <c r="D811" s="15"/>
      <c r="E811" s="15"/>
      <c r="F811" s="15"/>
      <c r="G811" s="17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3.2" x14ac:dyDescent="0.25">
      <c r="A812" s="16"/>
      <c r="B812" s="16"/>
      <c r="C812" s="15"/>
      <c r="D812" s="15"/>
      <c r="E812" s="15"/>
      <c r="F812" s="15"/>
      <c r="G812" s="17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3.2" x14ac:dyDescent="0.25">
      <c r="A813" s="16"/>
      <c r="B813" s="16"/>
      <c r="C813" s="15"/>
      <c r="D813" s="15"/>
      <c r="E813" s="15"/>
      <c r="F813" s="15"/>
      <c r="G813" s="17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3.2" x14ac:dyDescent="0.25">
      <c r="A814" s="16"/>
      <c r="B814" s="16"/>
      <c r="C814" s="15"/>
      <c r="D814" s="15"/>
      <c r="E814" s="15"/>
      <c r="F814" s="15"/>
      <c r="G814" s="17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3.2" x14ac:dyDescent="0.25">
      <c r="A815" s="16"/>
      <c r="B815" s="16"/>
      <c r="C815" s="15"/>
      <c r="D815" s="15"/>
      <c r="E815" s="15"/>
      <c r="F815" s="15"/>
      <c r="G815" s="17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3.2" x14ac:dyDescent="0.25">
      <c r="A816" s="16"/>
      <c r="B816" s="16"/>
      <c r="C816" s="15"/>
      <c r="D816" s="15"/>
      <c r="E816" s="15"/>
      <c r="F816" s="15"/>
      <c r="G816" s="17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3.2" x14ac:dyDescent="0.25">
      <c r="A817" s="16"/>
      <c r="B817" s="16"/>
      <c r="C817" s="15"/>
      <c r="D817" s="15"/>
      <c r="E817" s="15"/>
      <c r="F817" s="15"/>
      <c r="G817" s="17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3.2" x14ac:dyDescent="0.25">
      <c r="A818" s="16"/>
      <c r="B818" s="16"/>
      <c r="C818" s="15"/>
      <c r="D818" s="15"/>
      <c r="E818" s="15"/>
      <c r="F818" s="15"/>
      <c r="G818" s="17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3.2" x14ac:dyDescent="0.25">
      <c r="A819" s="16"/>
      <c r="B819" s="16"/>
      <c r="C819" s="15"/>
      <c r="D819" s="15"/>
      <c r="E819" s="15"/>
      <c r="F819" s="15"/>
      <c r="G819" s="17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3.2" x14ac:dyDescent="0.25">
      <c r="A820" s="16"/>
      <c r="B820" s="16"/>
      <c r="C820" s="15"/>
      <c r="D820" s="15"/>
      <c r="E820" s="15"/>
      <c r="F820" s="15"/>
      <c r="G820" s="17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3.2" x14ac:dyDescent="0.25">
      <c r="A821" s="16"/>
      <c r="B821" s="16"/>
      <c r="C821" s="15"/>
      <c r="D821" s="15"/>
      <c r="E821" s="15"/>
      <c r="F821" s="15"/>
      <c r="G821" s="17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3.2" x14ac:dyDescent="0.25">
      <c r="A822" s="16"/>
      <c r="B822" s="16"/>
      <c r="C822" s="15"/>
      <c r="D822" s="15"/>
      <c r="E822" s="15"/>
      <c r="F822" s="15"/>
      <c r="G822" s="17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3.2" x14ac:dyDescent="0.25">
      <c r="A823" s="16"/>
      <c r="B823" s="16"/>
      <c r="C823" s="15"/>
      <c r="D823" s="15"/>
      <c r="E823" s="15"/>
      <c r="F823" s="15"/>
      <c r="G823" s="17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3.2" x14ac:dyDescent="0.25">
      <c r="A824" s="16"/>
      <c r="B824" s="16"/>
      <c r="C824" s="15"/>
      <c r="D824" s="15"/>
      <c r="E824" s="15"/>
      <c r="F824" s="15"/>
      <c r="G824" s="17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3.2" x14ac:dyDescent="0.25">
      <c r="A825" s="16"/>
      <c r="B825" s="16"/>
      <c r="C825" s="15"/>
      <c r="D825" s="15"/>
      <c r="E825" s="15"/>
      <c r="F825" s="15"/>
      <c r="G825" s="17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3.2" x14ac:dyDescent="0.25">
      <c r="A826" s="16"/>
      <c r="B826" s="16"/>
      <c r="C826" s="15"/>
      <c r="D826" s="15"/>
      <c r="E826" s="15"/>
      <c r="F826" s="15"/>
      <c r="G826" s="17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3.2" x14ac:dyDescent="0.25">
      <c r="A827" s="16"/>
      <c r="B827" s="16"/>
      <c r="C827" s="15"/>
      <c r="D827" s="15"/>
      <c r="E827" s="15"/>
      <c r="F827" s="15"/>
      <c r="G827" s="17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3.2" x14ac:dyDescent="0.25">
      <c r="A828" s="16"/>
      <c r="B828" s="16"/>
      <c r="C828" s="15"/>
      <c r="D828" s="15"/>
      <c r="E828" s="15"/>
      <c r="F828" s="15"/>
      <c r="G828" s="17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3.2" x14ac:dyDescent="0.25">
      <c r="A829" s="16"/>
      <c r="B829" s="16"/>
      <c r="C829" s="15"/>
      <c r="D829" s="15"/>
      <c r="E829" s="15"/>
      <c r="F829" s="15"/>
      <c r="G829" s="17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3.2" x14ac:dyDescent="0.25">
      <c r="A830" s="16"/>
      <c r="B830" s="16"/>
      <c r="C830" s="15"/>
      <c r="D830" s="15"/>
      <c r="E830" s="15"/>
      <c r="F830" s="15"/>
      <c r="G830" s="17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3.2" x14ac:dyDescent="0.25">
      <c r="A831" s="16"/>
      <c r="B831" s="16"/>
      <c r="C831" s="15"/>
      <c r="D831" s="15"/>
      <c r="E831" s="15"/>
      <c r="F831" s="15"/>
      <c r="G831" s="17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3.2" x14ac:dyDescent="0.25">
      <c r="A832" s="16"/>
      <c r="B832" s="16"/>
      <c r="C832" s="15"/>
      <c r="D832" s="15"/>
      <c r="E832" s="15"/>
      <c r="F832" s="15"/>
      <c r="G832" s="17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3.2" x14ac:dyDescent="0.25">
      <c r="A833" s="16"/>
      <c r="B833" s="16"/>
      <c r="C833" s="15"/>
      <c r="D833" s="15"/>
      <c r="E833" s="15"/>
      <c r="F833" s="15"/>
      <c r="G833" s="17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3.2" x14ac:dyDescent="0.25">
      <c r="A834" s="16"/>
      <c r="B834" s="16"/>
      <c r="C834" s="15"/>
      <c r="D834" s="15"/>
      <c r="E834" s="15"/>
      <c r="F834" s="15"/>
      <c r="G834" s="17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3.2" x14ac:dyDescent="0.25">
      <c r="A835" s="16"/>
      <c r="B835" s="16"/>
      <c r="C835" s="15"/>
      <c r="D835" s="15"/>
      <c r="E835" s="15"/>
      <c r="F835" s="15"/>
      <c r="G835" s="17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3.2" x14ac:dyDescent="0.25">
      <c r="A836" s="16"/>
      <c r="B836" s="16"/>
      <c r="C836" s="15"/>
      <c r="D836" s="15"/>
      <c r="E836" s="15"/>
      <c r="F836" s="15"/>
      <c r="G836" s="17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3.2" x14ac:dyDescent="0.25">
      <c r="A837" s="16"/>
      <c r="B837" s="16"/>
      <c r="C837" s="15"/>
      <c r="D837" s="15"/>
      <c r="E837" s="15"/>
      <c r="F837" s="15"/>
      <c r="G837" s="17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3.2" x14ac:dyDescent="0.25">
      <c r="A838" s="16"/>
      <c r="B838" s="16"/>
      <c r="C838" s="15"/>
      <c r="D838" s="15"/>
      <c r="E838" s="15"/>
      <c r="F838" s="15"/>
      <c r="G838" s="17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3.2" x14ac:dyDescent="0.25">
      <c r="A839" s="16"/>
      <c r="B839" s="16"/>
      <c r="C839" s="15"/>
      <c r="D839" s="15"/>
      <c r="E839" s="15"/>
      <c r="F839" s="15"/>
      <c r="G839" s="17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3.2" x14ac:dyDescent="0.25">
      <c r="A840" s="16"/>
      <c r="B840" s="16"/>
      <c r="C840" s="15"/>
      <c r="D840" s="15"/>
      <c r="E840" s="15"/>
      <c r="F840" s="15"/>
      <c r="G840" s="17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3.2" x14ac:dyDescent="0.25">
      <c r="A841" s="16"/>
      <c r="B841" s="16"/>
      <c r="C841" s="15"/>
      <c r="D841" s="15"/>
      <c r="E841" s="15"/>
      <c r="F841" s="15"/>
      <c r="G841" s="17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3.2" x14ac:dyDescent="0.25">
      <c r="A842" s="16"/>
      <c r="B842" s="16"/>
      <c r="C842" s="15"/>
      <c r="D842" s="15"/>
      <c r="E842" s="15"/>
      <c r="F842" s="15"/>
      <c r="G842" s="17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3.2" x14ac:dyDescent="0.25">
      <c r="A843" s="16"/>
      <c r="B843" s="16"/>
      <c r="C843" s="15"/>
      <c r="D843" s="15"/>
      <c r="E843" s="15"/>
      <c r="F843" s="15"/>
      <c r="G843" s="17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3.2" x14ac:dyDescent="0.25">
      <c r="A844" s="16"/>
      <c r="B844" s="16"/>
      <c r="C844" s="15"/>
      <c r="D844" s="15"/>
      <c r="E844" s="15"/>
      <c r="F844" s="15"/>
      <c r="G844" s="17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3.2" x14ac:dyDescent="0.25">
      <c r="A845" s="16"/>
      <c r="B845" s="16"/>
      <c r="C845" s="15"/>
      <c r="D845" s="15"/>
      <c r="E845" s="15"/>
      <c r="F845" s="15"/>
      <c r="G845" s="17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3.2" x14ac:dyDescent="0.25">
      <c r="A846" s="16"/>
      <c r="B846" s="16"/>
      <c r="C846" s="15"/>
      <c r="D846" s="15"/>
      <c r="E846" s="15"/>
      <c r="F846" s="15"/>
      <c r="G846" s="17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3.2" x14ac:dyDescent="0.25">
      <c r="A847" s="16"/>
      <c r="B847" s="16"/>
      <c r="C847" s="15"/>
      <c r="D847" s="15"/>
      <c r="E847" s="15"/>
      <c r="F847" s="15"/>
      <c r="G847" s="17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3.2" x14ac:dyDescent="0.25">
      <c r="A848" s="16"/>
      <c r="B848" s="16"/>
      <c r="C848" s="15"/>
      <c r="D848" s="15"/>
      <c r="E848" s="15"/>
      <c r="F848" s="15"/>
      <c r="G848" s="17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3.2" x14ac:dyDescent="0.25">
      <c r="A849" s="16"/>
      <c r="B849" s="16"/>
      <c r="C849" s="15"/>
      <c r="D849" s="15"/>
      <c r="E849" s="15"/>
      <c r="F849" s="15"/>
      <c r="G849" s="17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3.2" x14ac:dyDescent="0.25">
      <c r="A850" s="16"/>
      <c r="B850" s="16"/>
      <c r="C850" s="15"/>
      <c r="D850" s="15"/>
      <c r="E850" s="15"/>
      <c r="F850" s="15"/>
      <c r="G850" s="17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3.2" x14ac:dyDescent="0.25">
      <c r="A851" s="16"/>
      <c r="B851" s="16"/>
      <c r="C851" s="15"/>
      <c r="D851" s="15"/>
      <c r="E851" s="15"/>
      <c r="F851" s="15"/>
      <c r="G851" s="17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3.2" x14ac:dyDescent="0.25">
      <c r="A852" s="16"/>
      <c r="B852" s="16"/>
      <c r="C852" s="15"/>
      <c r="D852" s="15"/>
      <c r="E852" s="15"/>
      <c r="F852" s="15"/>
      <c r="G852" s="17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3.2" x14ac:dyDescent="0.25">
      <c r="A853" s="16"/>
      <c r="B853" s="16"/>
      <c r="C853" s="15"/>
      <c r="D853" s="15"/>
      <c r="E853" s="15"/>
      <c r="F853" s="15"/>
      <c r="G853" s="17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3.2" x14ac:dyDescent="0.25">
      <c r="A854" s="16"/>
      <c r="B854" s="16"/>
      <c r="C854" s="15"/>
      <c r="D854" s="15"/>
      <c r="E854" s="15"/>
      <c r="F854" s="15"/>
      <c r="G854" s="17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3.2" x14ac:dyDescent="0.25">
      <c r="A855" s="16"/>
      <c r="B855" s="16"/>
      <c r="C855" s="15"/>
      <c r="D855" s="15"/>
      <c r="E855" s="15"/>
      <c r="F855" s="15"/>
      <c r="G855" s="17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3.2" x14ac:dyDescent="0.25">
      <c r="A856" s="16"/>
      <c r="B856" s="16"/>
      <c r="C856" s="15"/>
      <c r="D856" s="15"/>
      <c r="E856" s="15"/>
      <c r="F856" s="15"/>
      <c r="G856" s="17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3.2" x14ac:dyDescent="0.25">
      <c r="A857" s="16"/>
      <c r="B857" s="16"/>
      <c r="C857" s="15"/>
      <c r="D857" s="15"/>
      <c r="E857" s="15"/>
      <c r="F857" s="15"/>
      <c r="G857" s="17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3.2" x14ac:dyDescent="0.25">
      <c r="A858" s="16"/>
      <c r="B858" s="16"/>
      <c r="C858" s="15"/>
      <c r="D858" s="15"/>
      <c r="E858" s="15"/>
      <c r="F858" s="15"/>
      <c r="G858" s="17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3.2" x14ac:dyDescent="0.25">
      <c r="A859" s="16"/>
      <c r="B859" s="16"/>
      <c r="C859" s="15"/>
      <c r="D859" s="15"/>
      <c r="E859" s="15"/>
      <c r="F859" s="15"/>
      <c r="G859" s="17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3.2" x14ac:dyDescent="0.25">
      <c r="A860" s="16"/>
      <c r="B860" s="16"/>
      <c r="C860" s="15"/>
      <c r="D860" s="15"/>
      <c r="E860" s="15"/>
      <c r="F860" s="15"/>
      <c r="G860" s="17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3.2" x14ac:dyDescent="0.25">
      <c r="A861" s="16"/>
      <c r="B861" s="16"/>
      <c r="C861" s="15"/>
      <c r="D861" s="15"/>
      <c r="E861" s="15"/>
      <c r="F861" s="15"/>
      <c r="G861" s="17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3.2" x14ac:dyDescent="0.25">
      <c r="A862" s="16"/>
      <c r="B862" s="16"/>
      <c r="C862" s="15"/>
      <c r="D862" s="15"/>
      <c r="E862" s="15"/>
      <c r="F862" s="15"/>
      <c r="G862" s="17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3.2" x14ac:dyDescent="0.25">
      <c r="A863" s="16"/>
      <c r="B863" s="16"/>
      <c r="C863" s="15"/>
      <c r="D863" s="15"/>
      <c r="E863" s="15"/>
      <c r="F863" s="15"/>
      <c r="G863" s="17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3.2" x14ac:dyDescent="0.25">
      <c r="A864" s="16"/>
      <c r="B864" s="16"/>
      <c r="C864" s="15"/>
      <c r="D864" s="15"/>
      <c r="E864" s="15"/>
      <c r="F864" s="15"/>
      <c r="G864" s="17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3.2" x14ac:dyDescent="0.25">
      <c r="A865" s="16"/>
      <c r="B865" s="16"/>
      <c r="C865" s="15"/>
      <c r="D865" s="15"/>
      <c r="E865" s="15"/>
      <c r="F865" s="15"/>
      <c r="G865" s="17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3.2" x14ac:dyDescent="0.25">
      <c r="A866" s="16"/>
      <c r="B866" s="16"/>
      <c r="C866" s="15"/>
      <c r="D866" s="15"/>
      <c r="E866" s="15"/>
      <c r="F866" s="15"/>
      <c r="G866" s="17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3.2" x14ac:dyDescent="0.25">
      <c r="A867" s="16"/>
      <c r="B867" s="16"/>
      <c r="C867" s="15"/>
      <c r="D867" s="15"/>
      <c r="E867" s="15"/>
      <c r="F867" s="15"/>
      <c r="G867" s="17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3.2" x14ac:dyDescent="0.25">
      <c r="A868" s="16"/>
      <c r="B868" s="16"/>
      <c r="C868" s="15"/>
      <c r="D868" s="15"/>
      <c r="E868" s="15"/>
      <c r="F868" s="15"/>
      <c r="G868" s="17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3.2" x14ac:dyDescent="0.25">
      <c r="A869" s="16"/>
      <c r="B869" s="16"/>
      <c r="C869" s="15"/>
      <c r="D869" s="15"/>
      <c r="E869" s="15"/>
      <c r="F869" s="15"/>
      <c r="G869" s="17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3.2" x14ac:dyDescent="0.25">
      <c r="A870" s="16"/>
      <c r="B870" s="16"/>
      <c r="C870" s="15"/>
      <c r="D870" s="15"/>
      <c r="E870" s="15"/>
      <c r="F870" s="15"/>
      <c r="G870" s="17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3.2" x14ac:dyDescent="0.25">
      <c r="A871" s="16"/>
      <c r="B871" s="16"/>
      <c r="C871" s="15"/>
      <c r="D871" s="15"/>
      <c r="E871" s="15"/>
      <c r="F871" s="15"/>
      <c r="G871" s="17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3.2" x14ac:dyDescent="0.25">
      <c r="A872" s="16"/>
      <c r="B872" s="16"/>
      <c r="C872" s="15"/>
      <c r="D872" s="15"/>
      <c r="E872" s="15"/>
      <c r="F872" s="15"/>
      <c r="G872" s="17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3.2" x14ac:dyDescent="0.25">
      <c r="A873" s="16"/>
      <c r="B873" s="16"/>
      <c r="C873" s="15"/>
      <c r="D873" s="15"/>
      <c r="E873" s="15"/>
      <c r="F873" s="15"/>
      <c r="G873" s="17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3.2" x14ac:dyDescent="0.25">
      <c r="A874" s="16"/>
      <c r="B874" s="16"/>
      <c r="C874" s="15"/>
      <c r="D874" s="15"/>
      <c r="E874" s="15"/>
      <c r="F874" s="15"/>
      <c r="G874" s="17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3.2" x14ac:dyDescent="0.25">
      <c r="A875" s="16"/>
      <c r="B875" s="16"/>
      <c r="C875" s="15"/>
      <c r="D875" s="15"/>
      <c r="E875" s="15"/>
      <c r="F875" s="15"/>
      <c r="G875" s="17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3.2" x14ac:dyDescent="0.25">
      <c r="A876" s="16"/>
      <c r="B876" s="16"/>
      <c r="C876" s="15"/>
      <c r="D876" s="15"/>
      <c r="E876" s="15"/>
      <c r="F876" s="15"/>
      <c r="G876" s="17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3.2" x14ac:dyDescent="0.25">
      <c r="A877" s="16"/>
      <c r="B877" s="16"/>
      <c r="C877" s="15"/>
      <c r="D877" s="15"/>
      <c r="E877" s="15"/>
      <c r="F877" s="15"/>
      <c r="G877" s="17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3.2" x14ac:dyDescent="0.25">
      <c r="A878" s="16"/>
      <c r="B878" s="16"/>
      <c r="C878" s="15"/>
      <c r="D878" s="15"/>
      <c r="E878" s="15"/>
      <c r="F878" s="15"/>
      <c r="G878" s="17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3.2" x14ac:dyDescent="0.25">
      <c r="A879" s="16"/>
      <c r="B879" s="16"/>
      <c r="C879" s="15"/>
      <c r="D879" s="15"/>
      <c r="E879" s="15"/>
      <c r="F879" s="15"/>
      <c r="G879" s="17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3.2" x14ac:dyDescent="0.25">
      <c r="A880" s="16"/>
      <c r="B880" s="16"/>
      <c r="C880" s="15"/>
      <c r="D880" s="15"/>
      <c r="E880" s="15"/>
      <c r="F880" s="15"/>
      <c r="G880" s="17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3.2" x14ac:dyDescent="0.25">
      <c r="A881" s="16"/>
      <c r="B881" s="16"/>
      <c r="C881" s="15"/>
      <c r="D881" s="15"/>
      <c r="E881" s="15"/>
      <c r="F881" s="15"/>
      <c r="G881" s="17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3.2" x14ac:dyDescent="0.25">
      <c r="A882" s="16"/>
      <c r="B882" s="16"/>
      <c r="C882" s="15"/>
      <c r="D882" s="15"/>
      <c r="E882" s="15"/>
      <c r="F882" s="15"/>
      <c r="G882" s="17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3.2" x14ac:dyDescent="0.25">
      <c r="A883" s="16"/>
      <c r="B883" s="16"/>
      <c r="C883" s="15"/>
      <c r="D883" s="15"/>
      <c r="E883" s="15"/>
      <c r="F883" s="15"/>
      <c r="G883" s="17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3.2" x14ac:dyDescent="0.25">
      <c r="A884" s="16"/>
      <c r="B884" s="16"/>
      <c r="C884" s="15"/>
      <c r="D884" s="15"/>
      <c r="E884" s="15"/>
      <c r="F884" s="15"/>
      <c r="G884" s="17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3.2" x14ac:dyDescent="0.25">
      <c r="A885" s="16"/>
      <c r="B885" s="16"/>
      <c r="C885" s="15"/>
      <c r="D885" s="15"/>
      <c r="E885" s="15"/>
      <c r="F885" s="15"/>
      <c r="G885" s="17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3.2" x14ac:dyDescent="0.25">
      <c r="A886" s="16"/>
      <c r="B886" s="16"/>
      <c r="C886" s="15"/>
      <c r="D886" s="15"/>
      <c r="E886" s="15"/>
      <c r="F886" s="15"/>
      <c r="G886" s="17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3.2" x14ac:dyDescent="0.25">
      <c r="A887" s="16"/>
      <c r="B887" s="16"/>
      <c r="C887" s="15"/>
      <c r="D887" s="15"/>
      <c r="E887" s="15"/>
      <c r="F887" s="15"/>
      <c r="G887" s="17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3.2" x14ac:dyDescent="0.25">
      <c r="A888" s="16"/>
      <c r="B888" s="16"/>
      <c r="C888" s="15"/>
      <c r="D888" s="15"/>
      <c r="E888" s="15"/>
      <c r="F888" s="15"/>
      <c r="G888" s="17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3.2" x14ac:dyDescent="0.25">
      <c r="A889" s="16"/>
      <c r="B889" s="16"/>
      <c r="C889" s="15"/>
      <c r="D889" s="15"/>
      <c r="E889" s="15"/>
      <c r="F889" s="15"/>
      <c r="G889" s="17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3.2" x14ac:dyDescent="0.25">
      <c r="A890" s="16"/>
      <c r="B890" s="16"/>
      <c r="C890" s="15"/>
      <c r="D890" s="15"/>
      <c r="E890" s="15"/>
      <c r="F890" s="15"/>
      <c r="G890" s="17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3.2" x14ac:dyDescent="0.25">
      <c r="A891" s="16"/>
      <c r="B891" s="16"/>
      <c r="C891" s="15"/>
      <c r="D891" s="15"/>
      <c r="E891" s="15"/>
      <c r="F891" s="15"/>
      <c r="G891" s="17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3.2" x14ac:dyDescent="0.25">
      <c r="A892" s="16"/>
      <c r="B892" s="16"/>
      <c r="C892" s="15"/>
      <c r="D892" s="15"/>
      <c r="E892" s="15"/>
      <c r="F892" s="15"/>
      <c r="G892" s="17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3.2" x14ac:dyDescent="0.25">
      <c r="A893" s="16"/>
      <c r="B893" s="16"/>
      <c r="C893" s="15"/>
      <c r="D893" s="15"/>
      <c r="E893" s="15"/>
      <c r="F893" s="15"/>
      <c r="G893" s="17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3.2" x14ac:dyDescent="0.25">
      <c r="A894" s="16"/>
      <c r="B894" s="16"/>
      <c r="C894" s="15"/>
      <c r="D894" s="15"/>
      <c r="E894" s="15"/>
      <c r="F894" s="15"/>
      <c r="G894" s="17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3.2" x14ac:dyDescent="0.25">
      <c r="A895" s="16"/>
      <c r="B895" s="16"/>
      <c r="C895" s="15"/>
      <c r="D895" s="15"/>
      <c r="E895" s="15"/>
      <c r="F895" s="15"/>
      <c r="G895" s="17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3.2" x14ac:dyDescent="0.25">
      <c r="A896" s="16"/>
      <c r="B896" s="16"/>
      <c r="C896" s="15"/>
      <c r="D896" s="15"/>
      <c r="E896" s="15"/>
      <c r="F896" s="15"/>
      <c r="G896" s="17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3.2" x14ac:dyDescent="0.25">
      <c r="A897" s="16"/>
      <c r="B897" s="16"/>
      <c r="C897" s="15"/>
      <c r="D897" s="15"/>
      <c r="E897" s="15"/>
      <c r="F897" s="15"/>
      <c r="G897" s="17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3.2" x14ac:dyDescent="0.25">
      <c r="A898" s="16"/>
      <c r="B898" s="16"/>
      <c r="C898" s="15"/>
      <c r="D898" s="15"/>
      <c r="E898" s="15"/>
      <c r="F898" s="15"/>
      <c r="G898" s="17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3.2" x14ac:dyDescent="0.25">
      <c r="A899" s="16"/>
      <c r="B899" s="16"/>
      <c r="C899" s="15"/>
      <c r="D899" s="15"/>
      <c r="E899" s="15"/>
      <c r="F899" s="15"/>
      <c r="G899" s="17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3.2" x14ac:dyDescent="0.25">
      <c r="A900" s="16"/>
      <c r="B900" s="16"/>
      <c r="C900" s="15"/>
      <c r="D900" s="15"/>
      <c r="E900" s="15"/>
      <c r="F900" s="15"/>
      <c r="G900" s="17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3.2" x14ac:dyDescent="0.25">
      <c r="A901" s="16"/>
      <c r="B901" s="16"/>
      <c r="C901" s="15"/>
      <c r="D901" s="15"/>
      <c r="E901" s="15"/>
      <c r="F901" s="15"/>
      <c r="G901" s="17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3.2" x14ac:dyDescent="0.25">
      <c r="A902" s="16"/>
      <c r="B902" s="16"/>
      <c r="C902" s="15"/>
      <c r="D902" s="15"/>
      <c r="E902" s="15"/>
      <c r="F902" s="15"/>
      <c r="G902" s="17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3.2" x14ac:dyDescent="0.25">
      <c r="A903" s="16"/>
      <c r="B903" s="16"/>
      <c r="C903" s="15"/>
      <c r="D903" s="15"/>
      <c r="E903" s="15"/>
      <c r="F903" s="15"/>
      <c r="G903" s="17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3.2" x14ac:dyDescent="0.25">
      <c r="A904" s="16"/>
      <c r="B904" s="16"/>
      <c r="C904" s="15"/>
      <c r="D904" s="15"/>
      <c r="E904" s="15"/>
      <c r="F904" s="15"/>
      <c r="G904" s="17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3.2" x14ac:dyDescent="0.25">
      <c r="A905" s="16"/>
      <c r="B905" s="16"/>
      <c r="C905" s="15"/>
      <c r="D905" s="15"/>
      <c r="E905" s="15"/>
      <c r="F905" s="15"/>
      <c r="G905" s="17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3.2" x14ac:dyDescent="0.25">
      <c r="A906" s="16"/>
      <c r="B906" s="16"/>
      <c r="C906" s="15"/>
      <c r="D906" s="15"/>
      <c r="E906" s="15"/>
      <c r="F906" s="15"/>
      <c r="G906" s="17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3.2" x14ac:dyDescent="0.25">
      <c r="A907" s="16"/>
      <c r="B907" s="16"/>
      <c r="C907" s="15"/>
      <c r="D907" s="15"/>
      <c r="E907" s="15"/>
      <c r="F907" s="15"/>
      <c r="G907" s="17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3.2" x14ac:dyDescent="0.25">
      <c r="A908" s="16"/>
      <c r="B908" s="16"/>
      <c r="C908" s="15"/>
      <c r="D908" s="15"/>
      <c r="E908" s="15"/>
      <c r="F908" s="15"/>
      <c r="G908" s="17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3.2" x14ac:dyDescent="0.25">
      <c r="A909" s="16"/>
      <c r="B909" s="16"/>
      <c r="C909" s="15"/>
      <c r="D909" s="15"/>
      <c r="E909" s="15"/>
      <c r="F909" s="15"/>
      <c r="G909" s="17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3.2" x14ac:dyDescent="0.25">
      <c r="A910" s="16"/>
      <c r="B910" s="16"/>
      <c r="C910" s="15"/>
      <c r="D910" s="15"/>
      <c r="E910" s="15"/>
      <c r="F910" s="15"/>
      <c r="G910" s="17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3.2" x14ac:dyDescent="0.25">
      <c r="A911" s="16"/>
      <c r="B911" s="16"/>
      <c r="C911" s="15"/>
      <c r="D911" s="15"/>
      <c r="E911" s="15"/>
      <c r="F911" s="15"/>
      <c r="G911" s="17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3.2" x14ac:dyDescent="0.25">
      <c r="A912" s="16"/>
      <c r="B912" s="16"/>
      <c r="C912" s="15"/>
      <c r="D912" s="15"/>
      <c r="E912" s="15"/>
      <c r="F912" s="15"/>
      <c r="G912" s="17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3.2" x14ac:dyDescent="0.25">
      <c r="A913" s="16"/>
      <c r="B913" s="16"/>
      <c r="C913" s="15"/>
      <c r="D913" s="15"/>
      <c r="E913" s="15"/>
      <c r="F913" s="15"/>
      <c r="G913" s="17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3.2" x14ac:dyDescent="0.25">
      <c r="A914" s="16"/>
      <c r="B914" s="16"/>
      <c r="C914" s="15"/>
      <c r="D914" s="15"/>
      <c r="E914" s="15"/>
      <c r="F914" s="15"/>
      <c r="G914" s="17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3.2" x14ac:dyDescent="0.25">
      <c r="A915" s="16"/>
      <c r="B915" s="16"/>
      <c r="C915" s="15"/>
      <c r="D915" s="15"/>
      <c r="E915" s="15"/>
      <c r="F915" s="15"/>
      <c r="G915" s="17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3.2" x14ac:dyDescent="0.25">
      <c r="A916" s="16"/>
      <c r="B916" s="16"/>
      <c r="C916" s="15"/>
      <c r="D916" s="15"/>
      <c r="E916" s="15"/>
      <c r="F916" s="15"/>
      <c r="G916" s="17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3.2" x14ac:dyDescent="0.25">
      <c r="A917" s="16"/>
      <c r="B917" s="16"/>
      <c r="C917" s="15"/>
      <c r="D917" s="15"/>
      <c r="E917" s="15"/>
      <c r="F917" s="15"/>
      <c r="G917" s="17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3.2" x14ac:dyDescent="0.25">
      <c r="A918" s="16"/>
      <c r="B918" s="16"/>
      <c r="C918" s="15"/>
      <c r="D918" s="15"/>
      <c r="E918" s="15"/>
      <c r="F918" s="15"/>
      <c r="G918" s="17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3.2" x14ac:dyDescent="0.25">
      <c r="A919" s="16"/>
      <c r="B919" s="16"/>
      <c r="C919" s="15"/>
      <c r="D919" s="15"/>
      <c r="E919" s="15"/>
      <c r="F919" s="15"/>
      <c r="G919" s="17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3.2" x14ac:dyDescent="0.25">
      <c r="A920" s="16"/>
      <c r="B920" s="16"/>
      <c r="C920" s="15"/>
      <c r="D920" s="15"/>
      <c r="E920" s="15"/>
      <c r="F920" s="15"/>
      <c r="G920" s="17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3.2" x14ac:dyDescent="0.25">
      <c r="A921" s="16"/>
      <c r="B921" s="16"/>
      <c r="C921" s="15"/>
      <c r="D921" s="15"/>
      <c r="E921" s="15"/>
      <c r="F921" s="15"/>
      <c r="G921" s="17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3.2" x14ac:dyDescent="0.25">
      <c r="A922" s="16"/>
      <c r="B922" s="16"/>
      <c r="C922" s="15"/>
      <c r="D922" s="15"/>
      <c r="E922" s="15"/>
      <c r="F922" s="15"/>
      <c r="G922" s="17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3.2" x14ac:dyDescent="0.25">
      <c r="A923" s="16"/>
      <c r="B923" s="16"/>
      <c r="C923" s="15"/>
      <c r="D923" s="15"/>
      <c r="E923" s="15"/>
      <c r="F923" s="15"/>
      <c r="G923" s="17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3.2" x14ac:dyDescent="0.25">
      <c r="A924" s="16"/>
      <c r="B924" s="16"/>
      <c r="C924" s="15"/>
      <c r="D924" s="15"/>
      <c r="E924" s="15"/>
      <c r="F924" s="15"/>
      <c r="G924" s="17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3.2" x14ac:dyDescent="0.25">
      <c r="A925" s="16"/>
      <c r="B925" s="16"/>
      <c r="C925" s="15"/>
      <c r="D925" s="15"/>
      <c r="E925" s="15"/>
      <c r="F925" s="15"/>
      <c r="G925" s="17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3.2" x14ac:dyDescent="0.25">
      <c r="A926" s="16"/>
      <c r="B926" s="16"/>
      <c r="C926" s="15"/>
      <c r="D926" s="15"/>
      <c r="E926" s="15"/>
      <c r="F926" s="15"/>
      <c r="G926" s="17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3.2" x14ac:dyDescent="0.25">
      <c r="A927" s="16"/>
      <c r="B927" s="16"/>
      <c r="C927" s="15"/>
      <c r="D927" s="15"/>
      <c r="E927" s="15"/>
      <c r="F927" s="15"/>
      <c r="G927" s="17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3.2" x14ac:dyDescent="0.25">
      <c r="A928" s="16"/>
      <c r="B928" s="16"/>
      <c r="C928" s="15"/>
      <c r="D928" s="15"/>
      <c r="E928" s="15"/>
      <c r="F928" s="15"/>
      <c r="G928" s="17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3.2" x14ac:dyDescent="0.25">
      <c r="A929" s="16"/>
      <c r="B929" s="16"/>
      <c r="C929" s="15"/>
      <c r="D929" s="15"/>
      <c r="E929" s="15"/>
      <c r="F929" s="15"/>
      <c r="G929" s="17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3.2" x14ac:dyDescent="0.25">
      <c r="A930" s="16"/>
      <c r="B930" s="16"/>
      <c r="C930" s="15"/>
      <c r="D930" s="15"/>
      <c r="E930" s="15"/>
      <c r="F930" s="15"/>
      <c r="G930" s="17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3.2" x14ac:dyDescent="0.25">
      <c r="A931" s="16"/>
      <c r="B931" s="16"/>
      <c r="C931" s="15"/>
      <c r="D931" s="15"/>
      <c r="E931" s="15"/>
      <c r="F931" s="15"/>
      <c r="G931" s="17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3.2" x14ac:dyDescent="0.25">
      <c r="A932" s="16"/>
      <c r="B932" s="16"/>
      <c r="C932" s="15"/>
      <c r="D932" s="15"/>
      <c r="E932" s="15"/>
      <c r="F932" s="15"/>
      <c r="G932" s="17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3.2" x14ac:dyDescent="0.25">
      <c r="A933" s="16"/>
      <c r="B933" s="16"/>
      <c r="C933" s="15"/>
      <c r="D933" s="15"/>
      <c r="E933" s="15"/>
      <c r="F933" s="15"/>
      <c r="G933" s="17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3.2" x14ac:dyDescent="0.25">
      <c r="A934" s="16"/>
      <c r="B934" s="16"/>
      <c r="C934" s="15"/>
      <c r="D934" s="15"/>
      <c r="E934" s="15"/>
      <c r="F934" s="15"/>
      <c r="G934" s="17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3.2" x14ac:dyDescent="0.25">
      <c r="A935" s="16"/>
      <c r="B935" s="16"/>
      <c r="C935" s="15"/>
      <c r="D935" s="15"/>
      <c r="E935" s="15"/>
      <c r="F935" s="15"/>
      <c r="G935" s="17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3.2" x14ac:dyDescent="0.25">
      <c r="A936" s="16"/>
      <c r="B936" s="16"/>
      <c r="C936" s="15"/>
      <c r="D936" s="15"/>
      <c r="E936" s="15"/>
      <c r="F936" s="15"/>
      <c r="G936" s="17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3.2" x14ac:dyDescent="0.25">
      <c r="A937" s="16"/>
      <c r="B937" s="16"/>
      <c r="C937" s="15"/>
      <c r="D937" s="15"/>
      <c r="E937" s="15"/>
      <c r="F937" s="15"/>
      <c r="G937" s="17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3.2" x14ac:dyDescent="0.25">
      <c r="A938" s="16"/>
      <c r="B938" s="16"/>
      <c r="C938" s="15"/>
      <c r="D938" s="15"/>
      <c r="E938" s="15"/>
      <c r="F938" s="15"/>
      <c r="G938" s="17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3.2" x14ac:dyDescent="0.25">
      <c r="A939" s="16"/>
      <c r="B939" s="16"/>
      <c r="C939" s="15"/>
      <c r="D939" s="15"/>
      <c r="E939" s="15"/>
      <c r="F939" s="15"/>
      <c r="G939" s="17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3.2" x14ac:dyDescent="0.25">
      <c r="A940" s="16"/>
      <c r="B940" s="16"/>
      <c r="C940" s="15"/>
      <c r="D940" s="15"/>
      <c r="E940" s="15"/>
      <c r="F940" s="15"/>
      <c r="G940" s="17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3.2" x14ac:dyDescent="0.25">
      <c r="A941" s="16"/>
      <c r="B941" s="16"/>
      <c r="C941" s="15"/>
      <c r="D941" s="15"/>
      <c r="E941" s="15"/>
      <c r="F941" s="15"/>
      <c r="G941" s="17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3.2" x14ac:dyDescent="0.25">
      <c r="A942" s="16"/>
      <c r="B942" s="16"/>
      <c r="C942" s="15"/>
      <c r="D942" s="15"/>
      <c r="E942" s="15"/>
      <c r="F942" s="15"/>
      <c r="G942" s="17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3.2" x14ac:dyDescent="0.25">
      <c r="A943" s="16"/>
      <c r="B943" s="16"/>
      <c r="C943" s="15"/>
      <c r="D943" s="15"/>
      <c r="E943" s="15"/>
      <c r="F943" s="15"/>
      <c r="G943" s="17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3.2" x14ac:dyDescent="0.25">
      <c r="A944" s="16"/>
      <c r="B944" s="16"/>
      <c r="C944" s="15"/>
      <c r="D944" s="15"/>
      <c r="E944" s="15"/>
      <c r="F944" s="15"/>
      <c r="G944" s="17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3.2" x14ac:dyDescent="0.25">
      <c r="A945" s="16"/>
      <c r="B945" s="16"/>
      <c r="C945" s="15"/>
      <c r="D945" s="15"/>
      <c r="E945" s="15"/>
      <c r="F945" s="15"/>
      <c r="G945" s="17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3.2" x14ac:dyDescent="0.25">
      <c r="A946" s="16"/>
      <c r="B946" s="16"/>
      <c r="C946" s="15"/>
      <c r="D946" s="15"/>
      <c r="E946" s="15"/>
      <c r="F946" s="15"/>
      <c r="G946" s="17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3.2" x14ac:dyDescent="0.25">
      <c r="A947" s="16"/>
      <c r="B947" s="16"/>
      <c r="C947" s="15"/>
      <c r="D947" s="15"/>
      <c r="E947" s="15"/>
      <c r="F947" s="15"/>
      <c r="G947" s="17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3.2" x14ac:dyDescent="0.25">
      <c r="A948" s="16"/>
      <c r="B948" s="16"/>
      <c r="C948" s="15"/>
      <c r="D948" s="15"/>
      <c r="E948" s="15"/>
      <c r="F948" s="15"/>
      <c r="G948" s="17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3.2" x14ac:dyDescent="0.25">
      <c r="A949" s="16"/>
      <c r="B949" s="16"/>
      <c r="C949" s="15"/>
      <c r="D949" s="15"/>
      <c r="E949" s="15"/>
      <c r="F949" s="15"/>
      <c r="G949" s="17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3.2" x14ac:dyDescent="0.25">
      <c r="A950" s="16"/>
      <c r="B950" s="16"/>
      <c r="C950" s="15"/>
      <c r="D950" s="15"/>
      <c r="E950" s="15"/>
      <c r="F950" s="15"/>
      <c r="G950" s="17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3.2" x14ac:dyDescent="0.25">
      <c r="A951" s="16"/>
      <c r="B951" s="16"/>
      <c r="C951" s="15"/>
      <c r="D951" s="15"/>
      <c r="E951" s="15"/>
      <c r="F951" s="15"/>
      <c r="G951" s="17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3.2" x14ac:dyDescent="0.25">
      <c r="A952" s="16"/>
      <c r="B952" s="16"/>
      <c r="C952" s="15"/>
      <c r="D952" s="15"/>
      <c r="E952" s="15"/>
      <c r="F952" s="15"/>
      <c r="G952" s="17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3.2" x14ac:dyDescent="0.25">
      <c r="A953" s="16"/>
      <c r="B953" s="16"/>
      <c r="C953" s="15"/>
      <c r="D953" s="15"/>
      <c r="E953" s="15"/>
      <c r="F953" s="15"/>
      <c r="G953" s="17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3.2" x14ac:dyDescent="0.25">
      <c r="A954" s="16"/>
      <c r="B954" s="16"/>
      <c r="C954" s="15"/>
      <c r="D954" s="15"/>
      <c r="E954" s="15"/>
      <c r="F954" s="15"/>
      <c r="G954" s="17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3.2" x14ac:dyDescent="0.25">
      <c r="A955" s="16"/>
      <c r="B955" s="16"/>
      <c r="C955" s="15"/>
      <c r="D955" s="15"/>
      <c r="E955" s="15"/>
      <c r="F955" s="15"/>
      <c r="G955" s="17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3.2" x14ac:dyDescent="0.25">
      <c r="A956" s="16"/>
      <c r="B956" s="16"/>
      <c r="C956" s="15"/>
      <c r="D956" s="15"/>
      <c r="E956" s="15"/>
      <c r="F956" s="15"/>
      <c r="G956" s="17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3.2" x14ac:dyDescent="0.25">
      <c r="A957" s="16"/>
      <c r="B957" s="16"/>
      <c r="C957" s="15"/>
      <c r="D957" s="15"/>
      <c r="E957" s="15"/>
      <c r="F957" s="15"/>
      <c r="G957" s="17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3.2" x14ac:dyDescent="0.25">
      <c r="A958" s="16"/>
      <c r="B958" s="16"/>
      <c r="C958" s="15"/>
      <c r="D958" s="15"/>
      <c r="E958" s="15"/>
      <c r="F958" s="15"/>
      <c r="G958" s="17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3.2" x14ac:dyDescent="0.25">
      <c r="A959" s="16"/>
      <c r="B959" s="16"/>
      <c r="C959" s="15"/>
      <c r="D959" s="15"/>
      <c r="E959" s="15"/>
      <c r="F959" s="15"/>
      <c r="G959" s="17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3.2" x14ac:dyDescent="0.25">
      <c r="A960" s="16"/>
      <c r="B960" s="16"/>
      <c r="C960" s="15"/>
      <c r="D960" s="15"/>
      <c r="E960" s="15"/>
      <c r="F960" s="15"/>
      <c r="G960" s="17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3.2" x14ac:dyDescent="0.25">
      <c r="A961" s="16"/>
      <c r="B961" s="16"/>
      <c r="C961" s="15"/>
      <c r="D961" s="15"/>
      <c r="E961" s="15"/>
      <c r="F961" s="15"/>
      <c r="G961" s="17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3.2" x14ac:dyDescent="0.25">
      <c r="A962" s="16"/>
      <c r="B962" s="16"/>
      <c r="C962" s="15"/>
      <c r="D962" s="15"/>
      <c r="E962" s="15"/>
      <c r="F962" s="15"/>
      <c r="G962" s="17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3.2" x14ac:dyDescent="0.25">
      <c r="A963" s="16"/>
      <c r="B963" s="16"/>
      <c r="C963" s="15"/>
      <c r="D963" s="15"/>
      <c r="E963" s="15"/>
      <c r="F963" s="15"/>
      <c r="G963" s="17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3.2" x14ac:dyDescent="0.25">
      <c r="A964" s="16"/>
      <c r="B964" s="16"/>
      <c r="C964" s="15"/>
      <c r="D964" s="15"/>
      <c r="E964" s="15"/>
      <c r="F964" s="15"/>
      <c r="G964" s="17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3.2" x14ac:dyDescent="0.25">
      <c r="A965" s="16"/>
      <c r="B965" s="16"/>
      <c r="C965" s="15"/>
      <c r="D965" s="15"/>
      <c r="E965" s="15"/>
      <c r="F965" s="15"/>
      <c r="G965" s="17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3.2" x14ac:dyDescent="0.25">
      <c r="A966" s="16"/>
      <c r="B966" s="16"/>
      <c r="C966" s="15"/>
      <c r="D966" s="15"/>
      <c r="E966" s="15"/>
      <c r="F966" s="15"/>
      <c r="G966" s="17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3.2" x14ac:dyDescent="0.25">
      <c r="A967" s="16"/>
      <c r="B967" s="16"/>
      <c r="C967" s="15"/>
      <c r="D967" s="15"/>
      <c r="E967" s="15"/>
      <c r="F967" s="15"/>
      <c r="G967" s="17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3.2" x14ac:dyDescent="0.25">
      <c r="A968" s="16"/>
      <c r="B968" s="16"/>
      <c r="C968" s="15"/>
      <c r="D968" s="15"/>
      <c r="E968" s="15"/>
      <c r="F968" s="15"/>
      <c r="G968" s="17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3.2" x14ac:dyDescent="0.25">
      <c r="A969" s="16"/>
      <c r="B969" s="16"/>
      <c r="C969" s="15"/>
      <c r="D969" s="15"/>
      <c r="E969" s="15"/>
      <c r="F969" s="15"/>
      <c r="G969" s="17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3.2" x14ac:dyDescent="0.25">
      <c r="A970" s="16"/>
      <c r="B970" s="16"/>
      <c r="C970" s="15"/>
      <c r="D970" s="15"/>
      <c r="E970" s="15"/>
      <c r="F970" s="15"/>
      <c r="G970" s="17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3.2" x14ac:dyDescent="0.25">
      <c r="A971" s="16"/>
      <c r="B971" s="16"/>
      <c r="C971" s="15"/>
      <c r="D971" s="15"/>
      <c r="E971" s="15"/>
      <c r="F971" s="15"/>
      <c r="G971" s="17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3.2" x14ac:dyDescent="0.25">
      <c r="A972" s="16"/>
      <c r="B972" s="16"/>
      <c r="C972" s="15"/>
      <c r="D972" s="15"/>
      <c r="E972" s="15"/>
      <c r="F972" s="15"/>
      <c r="G972" s="17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3.2" x14ac:dyDescent="0.25">
      <c r="A973" s="16"/>
      <c r="B973" s="16"/>
      <c r="C973" s="15"/>
      <c r="D973" s="15"/>
      <c r="E973" s="15"/>
      <c r="F973" s="15"/>
      <c r="G973" s="17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3.2" x14ac:dyDescent="0.25">
      <c r="A974" s="16"/>
      <c r="B974" s="16"/>
      <c r="C974" s="15"/>
      <c r="D974" s="15"/>
      <c r="E974" s="15"/>
      <c r="F974" s="15"/>
      <c r="G974" s="17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3.2" x14ac:dyDescent="0.25">
      <c r="A975" s="16"/>
      <c r="B975" s="16"/>
      <c r="C975" s="15"/>
      <c r="D975" s="15"/>
      <c r="E975" s="15"/>
      <c r="F975" s="15"/>
      <c r="G975" s="17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3.2" x14ac:dyDescent="0.25">
      <c r="A976" s="16"/>
      <c r="B976" s="16"/>
      <c r="C976" s="15"/>
      <c r="D976" s="15"/>
      <c r="E976" s="15"/>
      <c r="F976" s="15"/>
      <c r="G976" s="17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3.2" x14ac:dyDescent="0.25">
      <c r="A977" s="16"/>
      <c r="B977" s="16"/>
      <c r="C977" s="15"/>
      <c r="D977" s="15"/>
      <c r="E977" s="15"/>
      <c r="F977" s="15"/>
      <c r="G977" s="17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3.2" x14ac:dyDescent="0.25">
      <c r="A978" s="16"/>
      <c r="B978" s="16"/>
      <c r="C978" s="15"/>
      <c r="D978" s="15"/>
      <c r="E978" s="15"/>
      <c r="F978" s="15"/>
      <c r="G978" s="17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3.2" x14ac:dyDescent="0.25">
      <c r="A979" s="16"/>
      <c r="B979" s="16"/>
      <c r="C979" s="15"/>
      <c r="D979" s="15"/>
      <c r="E979" s="15"/>
      <c r="F979" s="15"/>
      <c r="G979" s="17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3.2" x14ac:dyDescent="0.25">
      <c r="A980" s="16"/>
      <c r="B980" s="16"/>
      <c r="C980" s="15"/>
      <c r="D980" s="15"/>
      <c r="E980" s="15"/>
      <c r="F980" s="15"/>
      <c r="G980" s="17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3.2" x14ac:dyDescent="0.25">
      <c r="A981" s="16"/>
      <c r="B981" s="16"/>
      <c r="C981" s="15"/>
      <c r="D981" s="15"/>
      <c r="E981" s="15"/>
      <c r="F981" s="15"/>
      <c r="G981" s="17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3.2" x14ac:dyDescent="0.25">
      <c r="A982" s="16"/>
      <c r="B982" s="16"/>
      <c r="C982" s="15"/>
      <c r="D982" s="15"/>
      <c r="E982" s="15"/>
      <c r="F982" s="15"/>
      <c r="G982" s="17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3.2" x14ac:dyDescent="0.25">
      <c r="A983" s="16"/>
      <c r="B983" s="16"/>
      <c r="C983" s="15"/>
      <c r="D983" s="15"/>
      <c r="E983" s="15"/>
      <c r="F983" s="15"/>
      <c r="G983" s="17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3.2" x14ac:dyDescent="0.25">
      <c r="A984" s="16"/>
      <c r="B984" s="16"/>
      <c r="C984" s="15"/>
      <c r="D984" s="15"/>
      <c r="E984" s="15"/>
      <c r="F984" s="15"/>
      <c r="G984" s="17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3.2" x14ac:dyDescent="0.25">
      <c r="A985" s="16"/>
      <c r="B985" s="16"/>
      <c r="C985" s="15"/>
      <c r="D985" s="15"/>
      <c r="E985" s="15"/>
      <c r="F985" s="15"/>
      <c r="G985" s="17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3.2" x14ac:dyDescent="0.25">
      <c r="A986" s="16"/>
      <c r="B986" s="16"/>
      <c r="C986" s="15"/>
      <c r="D986" s="15"/>
      <c r="E986" s="15"/>
      <c r="F986" s="15"/>
      <c r="G986" s="17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3.2" x14ac:dyDescent="0.25">
      <c r="A987" s="16"/>
      <c r="B987" s="16"/>
      <c r="C987" s="15"/>
      <c r="D987" s="15"/>
      <c r="E987" s="15"/>
      <c r="F987" s="15"/>
      <c r="G987" s="17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3.2" x14ac:dyDescent="0.25">
      <c r="A988" s="16"/>
      <c r="B988" s="16"/>
      <c r="C988" s="15"/>
      <c r="D988" s="15"/>
      <c r="E988" s="15"/>
      <c r="F988" s="15"/>
      <c r="G988" s="17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3.2" x14ac:dyDescent="0.25">
      <c r="A989" s="16"/>
      <c r="B989" s="16"/>
      <c r="C989" s="15"/>
      <c r="D989" s="15"/>
      <c r="E989" s="15"/>
      <c r="F989" s="15"/>
      <c r="G989" s="17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3.2" x14ac:dyDescent="0.25">
      <c r="A990" s="16"/>
      <c r="B990" s="16"/>
      <c r="C990" s="15"/>
      <c r="D990" s="15"/>
      <c r="E990" s="15"/>
      <c r="F990" s="15"/>
      <c r="G990" s="17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3.2" x14ac:dyDescent="0.25">
      <c r="A991" s="16"/>
      <c r="B991" s="16"/>
      <c r="C991" s="15"/>
      <c r="D991" s="15"/>
      <c r="E991" s="15"/>
      <c r="F991" s="15"/>
      <c r="G991" s="17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3.2" x14ac:dyDescent="0.25">
      <c r="A992" s="16"/>
      <c r="B992" s="16"/>
      <c r="C992" s="15"/>
      <c r="D992" s="15"/>
      <c r="E992" s="15"/>
      <c r="F992" s="15"/>
      <c r="G992" s="17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3.2" x14ac:dyDescent="0.25">
      <c r="A993" s="16"/>
      <c r="B993" s="16"/>
      <c r="C993" s="15"/>
      <c r="D993" s="15"/>
      <c r="E993" s="15"/>
      <c r="F993" s="15"/>
      <c r="G993" s="17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3.2" x14ac:dyDescent="0.25">
      <c r="A994" s="16"/>
      <c r="B994" s="16"/>
      <c r="C994" s="15"/>
      <c r="D994" s="15"/>
      <c r="E994" s="15"/>
      <c r="F994" s="15"/>
      <c r="G994" s="17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3.2" x14ac:dyDescent="0.25">
      <c r="A995" s="16"/>
      <c r="B995" s="16"/>
      <c r="C995" s="15"/>
      <c r="D995" s="15"/>
      <c r="E995" s="15"/>
      <c r="F995" s="15"/>
      <c r="G995" s="17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3.2" x14ac:dyDescent="0.25">
      <c r="A996" s="16"/>
      <c r="B996" s="16"/>
      <c r="C996" s="15"/>
      <c r="D996" s="15"/>
      <c r="E996" s="15"/>
      <c r="F996" s="15"/>
      <c r="G996" s="17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3.2" x14ac:dyDescent="0.25">
      <c r="A997" s="16"/>
      <c r="B997" s="16"/>
      <c r="C997" s="15"/>
      <c r="D997" s="15"/>
      <c r="E997" s="15"/>
      <c r="F997" s="15"/>
      <c r="G997" s="17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3.2" x14ac:dyDescent="0.25">
      <c r="A998" s="16"/>
      <c r="B998" s="16"/>
      <c r="C998" s="15"/>
      <c r="D998" s="15"/>
      <c r="E998" s="15"/>
      <c r="F998" s="15"/>
      <c r="G998" s="17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3.2" x14ac:dyDescent="0.25">
      <c r="A999" s="16"/>
      <c r="B999" s="16"/>
      <c r="C999" s="15"/>
      <c r="D999" s="15"/>
      <c r="E999" s="15"/>
      <c r="F999" s="15"/>
      <c r="G999" s="17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3.2" x14ac:dyDescent="0.25">
      <c r="A1000" s="16"/>
      <c r="B1000" s="16"/>
      <c r="C1000" s="15"/>
      <c r="D1000" s="15"/>
      <c r="E1000" s="15"/>
      <c r="F1000" s="15"/>
      <c r="G1000" s="17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4140625" defaultRowHeight="15.75" customHeight="1" x14ac:dyDescent="0.25"/>
  <cols>
    <col min="1" max="1" width="17.33203125" customWidth="1"/>
    <col min="2" max="2" width="18.5546875" customWidth="1"/>
    <col min="3" max="3" width="16.5546875" customWidth="1"/>
  </cols>
  <sheetData>
    <row r="1" spans="1:6" x14ac:dyDescent="0.25">
      <c r="A1" s="3" t="s">
        <v>1034</v>
      </c>
      <c r="B1" s="3" t="s">
        <v>2</v>
      </c>
      <c r="C1" s="3" t="s">
        <v>1035</v>
      </c>
      <c r="D1" s="3" t="s">
        <v>1036</v>
      </c>
      <c r="E1" s="3" t="s">
        <v>1037</v>
      </c>
      <c r="F1" s="3" t="s">
        <v>1038</v>
      </c>
    </row>
    <row r="2" spans="1:6" x14ac:dyDescent="0.25">
      <c r="A2" s="18" t="s">
        <v>1039</v>
      </c>
      <c r="B2" s="19" t="s">
        <v>103</v>
      </c>
      <c r="C2" s="19">
        <v>74779</v>
      </c>
      <c r="D2" s="14">
        <f ca="1">IFERROR(__xludf.DUMMYFUNCTION("GOOGLEFINANCE(B2,""Price"")"),2560.15)</f>
        <v>2560.15</v>
      </c>
      <c r="E2" s="19">
        <v>52</v>
      </c>
      <c r="F2" s="14">
        <f t="shared" ref="F2:F10" ca="1" si="0">D2*E2</f>
        <v>133127.80000000002</v>
      </c>
    </row>
    <row r="3" spans="1:6" x14ac:dyDescent="0.25">
      <c r="A3" s="18" t="s">
        <v>1040</v>
      </c>
      <c r="B3" s="19" t="s">
        <v>133</v>
      </c>
      <c r="C3" s="19">
        <v>32494</v>
      </c>
      <c r="D3" s="14">
        <f ca="1">IFERROR(__xludf.DUMMYFUNCTION("GOOGLEFINANCE(B3,""Price"")"),5362)</f>
        <v>5362</v>
      </c>
      <c r="E3" s="19">
        <v>15</v>
      </c>
      <c r="F3" s="14">
        <f t="shared" ca="1" si="0"/>
        <v>80430</v>
      </c>
    </row>
    <row r="4" spans="1:6" x14ac:dyDescent="0.25">
      <c r="A4" s="18" t="s">
        <v>1041</v>
      </c>
      <c r="B4" s="19" t="s">
        <v>155</v>
      </c>
      <c r="C4" s="19">
        <v>61751</v>
      </c>
      <c r="D4" s="14">
        <f ca="1">IFERROR(__xludf.DUMMYFUNCTION("GOOGLEFINANCE(B4,""Price"")"),1350)</f>
        <v>1350</v>
      </c>
      <c r="E4" s="19">
        <v>52</v>
      </c>
      <c r="F4" s="14">
        <f t="shared" ca="1" si="0"/>
        <v>70200</v>
      </c>
    </row>
    <row r="5" spans="1:6" x14ac:dyDescent="0.25">
      <c r="A5" s="18" t="s">
        <v>1042</v>
      </c>
      <c r="B5" s="19" t="s">
        <v>559</v>
      </c>
      <c r="C5" s="19">
        <v>40765</v>
      </c>
      <c r="D5" s="14">
        <f ca="1">IFERROR(__xludf.DUMMYFUNCTION("GOOGLEFINANCE(B5,""Price"")"),2817.9)</f>
        <v>2817.9</v>
      </c>
      <c r="E5" s="19">
        <v>18</v>
      </c>
      <c r="F5" s="14">
        <f t="shared" ca="1" si="0"/>
        <v>50722.200000000004</v>
      </c>
    </row>
    <row r="6" spans="1:6" x14ac:dyDescent="0.25">
      <c r="A6" s="18" t="s">
        <v>1043</v>
      </c>
      <c r="B6" s="19" t="s">
        <v>663</v>
      </c>
      <c r="C6" s="19">
        <v>14392</v>
      </c>
      <c r="D6" s="14">
        <f ca="1">IFERROR(__xludf.DUMMYFUNCTION("GOOGLEFINANCE(B6,""Price"")"),236.5)</f>
        <v>236.5</v>
      </c>
      <c r="E6" s="19">
        <v>72</v>
      </c>
      <c r="F6" s="14">
        <f t="shared" ca="1" si="0"/>
        <v>17028</v>
      </c>
    </row>
    <row r="7" spans="1:6" x14ac:dyDescent="0.25">
      <c r="A7" s="18" t="s">
        <v>1044</v>
      </c>
      <c r="B7" s="19" t="s">
        <v>739</v>
      </c>
      <c r="C7" s="19">
        <v>26826</v>
      </c>
      <c r="D7" s="14">
        <f ca="1">IFERROR(__xludf.DUMMYFUNCTION("GOOGLEFINANCE(B7,""Price"")"),1870.85)</f>
        <v>1870.85</v>
      </c>
      <c r="E7" s="19">
        <v>54</v>
      </c>
      <c r="F7" s="14">
        <f t="shared" ca="1" si="0"/>
        <v>101025.9</v>
      </c>
    </row>
    <row r="8" spans="1:6" x14ac:dyDescent="0.25">
      <c r="A8" s="18" t="s">
        <v>1045</v>
      </c>
      <c r="B8" s="19" t="s">
        <v>793</v>
      </c>
      <c r="C8" s="19">
        <v>120432</v>
      </c>
      <c r="D8" s="14">
        <f ca="1">IFERROR(__xludf.DUMMYFUNCTION("GOOGLEFINANCE(B8,""Price"")"),1913.05)</f>
        <v>1913.05</v>
      </c>
      <c r="E8" s="19">
        <v>47</v>
      </c>
      <c r="F8" s="14">
        <f t="shared" ca="1" si="0"/>
        <v>89913.349999999991</v>
      </c>
    </row>
    <row r="9" spans="1:6" x14ac:dyDescent="0.25">
      <c r="A9" s="18" t="s">
        <v>852</v>
      </c>
      <c r="B9" s="19" t="s">
        <v>853</v>
      </c>
      <c r="C9" s="19">
        <v>62999</v>
      </c>
      <c r="D9" s="14">
        <f ca="1">IFERROR(__xludf.DUMMYFUNCTION("GOOGLEFINANCE(B9,""Price"")"),367.75)</f>
        <v>367.75</v>
      </c>
      <c r="E9" s="19">
        <v>260</v>
      </c>
      <c r="F9" s="14">
        <f t="shared" ca="1" si="0"/>
        <v>95615</v>
      </c>
    </row>
    <row r="10" spans="1:6" x14ac:dyDescent="0.25">
      <c r="A10" s="18" t="s">
        <v>1046</v>
      </c>
      <c r="B10" s="19" t="s">
        <v>931</v>
      </c>
      <c r="C10" s="19">
        <v>23039</v>
      </c>
      <c r="D10" s="14">
        <f ca="1">IFERROR(__xludf.DUMMYFUNCTION("GOOGLEFINANCE(B10,""Price"")"),1175)</f>
        <v>1175</v>
      </c>
      <c r="E10" s="19">
        <v>25</v>
      </c>
      <c r="F10" s="14">
        <f t="shared" ca="1" si="0"/>
        <v>29375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3"/>
  <sheetViews>
    <sheetView workbookViewId="0"/>
  </sheetViews>
  <sheetFormatPr defaultColWidth="14.44140625" defaultRowHeight="15.75" customHeight="1" x14ac:dyDescent="0.25"/>
  <sheetData>
    <row r="1" spans="1:3" x14ac:dyDescent="0.25">
      <c r="A1" s="3" t="s">
        <v>1047</v>
      </c>
      <c r="B1" s="3" t="s">
        <v>1048</v>
      </c>
      <c r="C1" s="3" t="s">
        <v>1038</v>
      </c>
    </row>
    <row r="2" spans="1:3" x14ac:dyDescent="0.25">
      <c r="A2" s="20">
        <v>43902</v>
      </c>
      <c r="B2" s="19">
        <v>-12172</v>
      </c>
      <c r="C2" s="21">
        <v>133127.80000000002</v>
      </c>
    </row>
    <row r="3" spans="1:3" x14ac:dyDescent="0.25">
      <c r="A3" s="20">
        <v>43902</v>
      </c>
      <c r="B3" s="19">
        <v>2354</v>
      </c>
      <c r="C3" s="22">
        <v>80430</v>
      </c>
    </row>
    <row r="4" spans="1:3" x14ac:dyDescent="0.25">
      <c r="A4" s="20">
        <v>43902</v>
      </c>
      <c r="B4" s="19">
        <v>432</v>
      </c>
      <c r="C4" s="22">
        <v>70200</v>
      </c>
    </row>
    <row r="5" spans="1:3" x14ac:dyDescent="0.25">
      <c r="A5" s="20">
        <v>43902</v>
      </c>
      <c r="B5" s="19">
        <v>1232</v>
      </c>
      <c r="C5" s="21">
        <v>50722.200000000004</v>
      </c>
    </row>
    <row r="6" spans="1:3" x14ac:dyDescent="0.25">
      <c r="A6" s="20">
        <v>43933</v>
      </c>
      <c r="B6" s="19">
        <v>-4742</v>
      </c>
      <c r="C6" s="22">
        <v>17028</v>
      </c>
    </row>
    <row r="7" spans="1:3" x14ac:dyDescent="0.25">
      <c r="A7" s="20">
        <v>43933</v>
      </c>
      <c r="B7" s="19">
        <v>1397</v>
      </c>
      <c r="C7" s="22">
        <v>101025.9</v>
      </c>
    </row>
    <row r="8" spans="1:3" x14ac:dyDescent="0.25">
      <c r="A8" s="20">
        <v>43933</v>
      </c>
      <c r="B8" s="19">
        <v>2648</v>
      </c>
      <c r="C8" s="22">
        <v>89913.349999999991</v>
      </c>
    </row>
    <row r="9" spans="1:3" x14ac:dyDescent="0.25">
      <c r="A9" s="20">
        <v>43933</v>
      </c>
      <c r="B9" s="19">
        <v>25342</v>
      </c>
      <c r="C9" s="22">
        <v>95615</v>
      </c>
    </row>
    <row r="10" spans="1:3" x14ac:dyDescent="0.25">
      <c r="A10" s="20">
        <v>44024</v>
      </c>
      <c r="B10" s="19">
        <v>13678</v>
      </c>
      <c r="C10" s="22">
        <v>29375</v>
      </c>
    </row>
    <row r="11" spans="1:3" x14ac:dyDescent="0.25">
      <c r="A11" s="20">
        <v>44024</v>
      </c>
      <c r="B11" s="19">
        <v>1387</v>
      </c>
      <c r="C11" s="21">
        <v>133127.80000000002</v>
      </c>
    </row>
    <row r="12" spans="1:3" x14ac:dyDescent="0.25">
      <c r="A12" s="20">
        <v>44024</v>
      </c>
      <c r="B12" s="19">
        <v>2745</v>
      </c>
      <c r="C12" s="21">
        <v>80430</v>
      </c>
    </row>
    <row r="13" spans="1:3" x14ac:dyDescent="0.25">
      <c r="A13" s="20">
        <v>44055</v>
      </c>
      <c r="B13" s="19">
        <v>-2241</v>
      </c>
      <c r="C13" s="21">
        <v>70200</v>
      </c>
    </row>
    <row r="14" spans="1:3" x14ac:dyDescent="0.25">
      <c r="A14" s="20">
        <v>44055</v>
      </c>
      <c r="B14" s="19">
        <v>26817</v>
      </c>
      <c r="C14" s="21">
        <v>50722.200000000004</v>
      </c>
    </row>
    <row r="15" spans="1:3" x14ac:dyDescent="0.25">
      <c r="A15" s="20">
        <v>44086</v>
      </c>
      <c r="B15" s="19">
        <v>15516</v>
      </c>
      <c r="C15" s="21">
        <v>17028</v>
      </c>
    </row>
    <row r="16" spans="1:3" x14ac:dyDescent="0.25">
      <c r="A16" s="20">
        <v>44086</v>
      </c>
      <c r="B16" s="19">
        <v>-2381</v>
      </c>
      <c r="C16" s="21">
        <v>101025.9</v>
      </c>
    </row>
    <row r="17" spans="1:3" x14ac:dyDescent="0.25">
      <c r="A17" s="20">
        <v>44086</v>
      </c>
      <c r="B17" s="19">
        <v>26960</v>
      </c>
      <c r="C17" s="23">
        <v>89913.349999999991</v>
      </c>
    </row>
    <row r="18" spans="1:3" x14ac:dyDescent="0.25">
      <c r="A18" s="20">
        <v>44116</v>
      </c>
      <c r="B18" s="19">
        <v>8462</v>
      </c>
      <c r="C18" s="23">
        <v>95615</v>
      </c>
    </row>
    <row r="19" spans="1:3" x14ac:dyDescent="0.25">
      <c r="A19" s="20">
        <v>44116</v>
      </c>
      <c r="B19" s="19">
        <v>-9290</v>
      </c>
      <c r="C19" s="23">
        <v>29375</v>
      </c>
    </row>
    <row r="20" spans="1:3" x14ac:dyDescent="0.25">
      <c r="A20" s="20">
        <v>44116</v>
      </c>
      <c r="B20" s="19">
        <v>100</v>
      </c>
      <c r="C20" s="21">
        <v>133127.80000000002</v>
      </c>
    </row>
    <row r="21" spans="1:3" x14ac:dyDescent="0.25">
      <c r="A21" s="20">
        <v>44199</v>
      </c>
      <c r="B21" s="19">
        <v>40000</v>
      </c>
      <c r="C21" s="23">
        <v>80430</v>
      </c>
    </row>
    <row r="23" spans="1:3" x14ac:dyDescent="0.25">
      <c r="C2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INDEX-NIFTY_500</vt:lpstr>
      <vt:lpstr>Investments</vt:lpstr>
      <vt:lpstr>Trades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LKSH &amp; DEEPS</cp:lastModifiedBy>
  <dcterms:modified xsi:type="dcterms:W3CDTF">2021-05-13T11:07:43Z</dcterms:modified>
</cp:coreProperties>
</file>