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gilbe01\Desktop\PhD_2020-2023_09\Analyses\FeSthOpinn\data\"/>
    </mc:Choice>
  </mc:AlternateContent>
  <xr:revisionPtr revIDLastSave="0" documentId="13_ncr:1_{D8AFC6B7-D5D2-446A-9AE3-5F15C86C3F9F}" xr6:coauthVersionLast="47" xr6:coauthVersionMax="47" xr10:uidLastSave="{00000000-0000-0000-0000-000000000000}"/>
  <bookViews>
    <workbookView xWindow="28680" yWindow="-120" windowWidth="29040" windowHeight="15840" xr2:uid="{B1A347AD-4986-41BD-9500-4E54C6029C2E}"/>
  </bookViews>
  <sheets>
    <sheet name="Feuil2" sheetId="2" r:id="rId1"/>
  </sheets>
  <definedNames>
    <definedName name="_xlnm._FilterDatabase" localSheetId="0" hidden="1">Feuil2!$A$1:$K$219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23" i="2" l="1"/>
  <c r="F222" i="2"/>
  <c r="F221" i="2"/>
  <c r="F220" i="2"/>
  <c r="E221" i="2"/>
  <c r="E222" i="2"/>
  <c r="E223" i="2"/>
  <c r="E220" i="2"/>
  <c r="H201" i="2" l="1"/>
  <c r="G201" i="2"/>
  <c r="E201" i="2"/>
  <c r="F194" i="2" l="1"/>
  <c r="E194" i="2"/>
  <c r="F193" i="2"/>
  <c r="E193" i="2"/>
  <c r="F192" i="2"/>
  <c r="E192" i="2"/>
  <c r="F191" i="2"/>
  <c r="E191" i="2"/>
  <c r="F190" i="2"/>
  <c r="E190" i="2"/>
  <c r="E189" i="2"/>
  <c r="F188" i="2"/>
  <c r="E188" i="2"/>
  <c r="F187" i="2"/>
  <c r="E187" i="2"/>
  <c r="F186" i="2"/>
  <c r="E186" i="2"/>
  <c r="F185" i="2"/>
  <c r="E185" i="2"/>
  <c r="F184" i="2"/>
  <c r="E184" i="2"/>
  <c r="F183" i="2"/>
  <c r="E183" i="2"/>
  <c r="F182" i="2"/>
  <c r="E182" i="2"/>
  <c r="F181" i="2"/>
  <c r="E181" i="2"/>
  <c r="F180" i="2"/>
  <c r="F179" i="2"/>
  <c r="F178" i="2"/>
  <c r="F176" i="2"/>
  <c r="F175" i="2"/>
  <c r="F173" i="2"/>
  <c r="F171" i="2"/>
  <c r="F170" i="2"/>
  <c r="F169" i="2"/>
  <c r="F168" i="2"/>
  <c r="F159" i="2"/>
  <c r="F160" i="2"/>
  <c r="F161" i="2"/>
  <c r="F163" i="2"/>
  <c r="F164" i="2"/>
  <c r="F165" i="2"/>
  <c r="F166" i="2"/>
  <c r="F158" i="2"/>
  <c r="F156" i="2"/>
  <c r="F155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46" i="2"/>
  <c r="E147" i="2"/>
  <c r="E148" i="2"/>
  <c r="E149" i="2"/>
  <c r="E150" i="2"/>
  <c r="E151" i="2"/>
  <c r="E152" i="2"/>
  <c r="E153" i="2"/>
  <c r="E154" i="2"/>
  <c r="F154" i="2"/>
  <c r="F153" i="2"/>
  <c r="F152" i="2"/>
  <c r="F151" i="2"/>
  <c r="F150" i="2"/>
  <c r="F149" i="2"/>
  <c r="F148" i="2"/>
  <c r="F147" i="2"/>
  <c r="F146" i="2"/>
  <c r="F145" i="2"/>
  <c r="E145" i="2"/>
  <c r="F144" i="2"/>
  <c r="E144" i="2"/>
  <c r="H131" i="2"/>
  <c r="G131" i="2"/>
  <c r="F131" i="2"/>
  <c r="E131" i="2"/>
  <c r="H130" i="2"/>
  <c r="G130" i="2"/>
  <c r="F130" i="2"/>
  <c r="E130" i="2"/>
  <c r="H129" i="2"/>
  <c r="G129" i="2"/>
  <c r="F129" i="2"/>
  <c r="E129" i="2"/>
  <c r="H128" i="2"/>
  <c r="G128" i="2"/>
  <c r="F128" i="2"/>
  <c r="E128" i="2"/>
  <c r="H127" i="2"/>
  <c r="G127" i="2"/>
  <c r="F127" i="2"/>
  <c r="E127" i="2"/>
  <c r="H126" i="2"/>
  <c r="G126" i="2"/>
  <c r="F126" i="2"/>
  <c r="E126" i="2"/>
  <c r="H125" i="2"/>
  <c r="G125" i="2"/>
  <c r="F125" i="2"/>
  <c r="E125" i="2"/>
  <c r="H124" i="2"/>
  <c r="G124" i="2"/>
  <c r="F124" i="2"/>
  <c r="E124" i="2"/>
  <c r="H123" i="2"/>
  <c r="G123" i="2"/>
  <c r="F123" i="2"/>
  <c r="E123" i="2"/>
  <c r="H122" i="2"/>
  <c r="G122" i="2"/>
  <c r="F122" i="2"/>
  <c r="D122" i="2"/>
  <c r="E122" i="2" s="1"/>
  <c r="H121" i="2"/>
  <c r="G121" i="2"/>
  <c r="F121" i="2"/>
  <c r="D121" i="2"/>
  <c r="E121" i="2" s="1"/>
  <c r="H120" i="2"/>
  <c r="G120" i="2"/>
  <c r="F120" i="2"/>
  <c r="E120" i="2"/>
  <c r="H119" i="2"/>
  <c r="G119" i="2"/>
  <c r="F119" i="2"/>
  <c r="E119" i="2"/>
  <c r="H118" i="2"/>
  <c r="G118" i="2"/>
  <c r="F118" i="2"/>
  <c r="E118" i="2"/>
  <c r="H117" i="2"/>
  <c r="G117" i="2"/>
  <c r="F117" i="2"/>
  <c r="E117" i="2"/>
  <c r="F34" i="2"/>
  <c r="F31" i="2"/>
  <c r="F30" i="2"/>
  <c r="F29" i="2"/>
  <c r="F21" i="2"/>
  <c r="F22" i="2"/>
  <c r="H17" i="2"/>
  <c r="G17" i="2"/>
  <c r="H16" i="2"/>
  <c r="G16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2" i="2"/>
  <c r="E21" i="2" l="1"/>
  <c r="E22" i="2"/>
  <c r="E23" i="2"/>
  <c r="E24" i="2"/>
  <c r="E25" i="2"/>
  <c r="E26" i="2"/>
  <c r="E27" i="2"/>
  <c r="E28" i="2"/>
  <c r="E29" i="2"/>
  <c r="E33" i="2"/>
  <c r="E34" i="2"/>
  <c r="E35" i="2"/>
  <c r="E36" i="2"/>
  <c r="E37" i="2"/>
  <c r="E38" i="2"/>
  <c r="E39" i="2"/>
  <c r="K40" i="2"/>
  <c r="D32" i="2"/>
  <c r="E32" i="2" s="1"/>
  <c r="D31" i="2"/>
  <c r="E31" i="2" s="1"/>
  <c r="D30" i="2"/>
  <c r="E30" i="2" s="1"/>
</calcChain>
</file>

<file path=xl/sharedStrings.xml><?xml version="1.0" encoding="utf-8"?>
<sst xmlns="http://schemas.openxmlformats.org/spreadsheetml/2006/main" count="846" uniqueCount="83">
  <si>
    <t>Species</t>
  </si>
  <si>
    <t>Euphausia superba</t>
  </si>
  <si>
    <t>Pseudeuphausia latifrons</t>
  </si>
  <si>
    <t>Nyctiphanes australis</t>
  </si>
  <si>
    <t>Euphausia pacifica</t>
  </si>
  <si>
    <t>Euphausia similis</t>
  </si>
  <si>
    <t>Euphausia krohnii</t>
  </si>
  <si>
    <t>Meganyctiphanes norvegica</t>
  </si>
  <si>
    <t>Thysanoessa sp</t>
  </si>
  <si>
    <t>Taxa</t>
  </si>
  <si>
    <t>H2O</t>
  </si>
  <si>
    <t>Krill</t>
  </si>
  <si>
    <t>Fe_dw_mg_kg</t>
  </si>
  <si>
    <t>nrj_dw_KJ_g</t>
  </si>
  <si>
    <t>Other zooplankton</t>
  </si>
  <si>
    <t>Tissue</t>
  </si>
  <si>
    <t>Penguins</t>
  </si>
  <si>
    <t>Pygoscelis adeliae</t>
  </si>
  <si>
    <t>Muscle</t>
  </si>
  <si>
    <t>Liver</t>
  </si>
  <si>
    <t>Pancreas</t>
  </si>
  <si>
    <t>Spleen</t>
  </si>
  <si>
    <t>Blood</t>
  </si>
  <si>
    <t>Kidney</t>
  </si>
  <si>
    <t>Bone</t>
  </si>
  <si>
    <t>Feather</t>
  </si>
  <si>
    <t>Brain</t>
  </si>
  <si>
    <t>Heart</t>
  </si>
  <si>
    <t>Lung</t>
  </si>
  <si>
    <t>Testis</t>
  </si>
  <si>
    <t>Fe_mean_ww_mg_kg</t>
  </si>
  <si>
    <t>Fe_CV_ww_mg_kg</t>
  </si>
  <si>
    <t>Fe_min_ww_mg_kg</t>
  </si>
  <si>
    <t>Fe_max_ww_mg_kg</t>
  </si>
  <si>
    <t>Subcutaneous fat</t>
  </si>
  <si>
    <t>Skin</t>
  </si>
  <si>
    <t>Whole</t>
  </si>
  <si>
    <t>Seal</t>
  </si>
  <si>
    <t>Leptonychotes weddellii</t>
  </si>
  <si>
    <t>Stomach</t>
  </si>
  <si>
    <t>Intestine</t>
  </si>
  <si>
    <t>Hair</t>
  </si>
  <si>
    <t>Blubber</t>
  </si>
  <si>
    <t>Pygoscelis antarctica</t>
  </si>
  <si>
    <t>Lobodon carcinophagus</t>
  </si>
  <si>
    <t>Hydrurga leptonyx</t>
  </si>
  <si>
    <t>Pygoscelis papua</t>
  </si>
  <si>
    <t>Callorhinus ursinus</t>
  </si>
  <si>
    <t>Eumetopias jubatus</t>
  </si>
  <si>
    <t>Pagophilus groenlandicus</t>
  </si>
  <si>
    <t>Cystophora cristata</t>
  </si>
  <si>
    <t>nrj_ww_KJ_g</t>
  </si>
  <si>
    <t>Source</t>
  </si>
  <si>
    <t>Honda et al 1986 [Fe]</t>
  </si>
  <si>
    <t>Yamamoto et al 1987 [Fe]</t>
  </si>
  <si>
    <t>Szefer et al 1993 [Fe]</t>
  </si>
  <si>
    <t>Szefer et al 1994 [Fe]</t>
  </si>
  <si>
    <t>Yamamoto et al 1996 [Fe]</t>
  </si>
  <si>
    <t>Jerez et al 2011 [Fe]</t>
  </si>
  <si>
    <t>Jerez et al 2013a [Fe]</t>
  </si>
  <si>
    <t>Jerez et al 2013b [Fe]</t>
  </si>
  <si>
    <t>Noda et al 1995 [Fe]</t>
  </si>
  <si>
    <t>Sydeman &amp; Jarman 1998 [Fe]</t>
  </si>
  <si>
    <t>Julshamn &amp; Grahl-Nielsen 2000 [Fe]</t>
  </si>
  <si>
    <t>Locarnini &amp; Presley 1995 [Fe], Kiorboe 2013 [H2O]</t>
  </si>
  <si>
    <t>Yamamoto et al 1987 from Locarnini &amp; Presley 1995 [Fe], Kiorboe 2013 [H2O]</t>
  </si>
  <si>
    <t>Caroli et al 1998 [Fe], Kiorboe 2013 [H2O]</t>
  </si>
  <si>
    <t>Nicol et al 2010 [Fe], Kiorboe 2013 [H2O]</t>
  </si>
  <si>
    <t>Kim et al 2014 [Fe], Kiorboe 2013 [H2O]</t>
  </si>
  <si>
    <t>Barbante et al 2000 [Fe], Kiorboe 2013 [H2O]</t>
  </si>
  <si>
    <t>Ruck et al 2014 [NRJ]</t>
  </si>
  <si>
    <t>Martensson et al 1996 [NRJ]</t>
  </si>
  <si>
    <t>Clarke 1980 from Armstrong et al 1991 [NRJ]</t>
  </si>
  <si>
    <t>Cephalopod</t>
  </si>
  <si>
    <t>Eledone cirrhosa</t>
  </si>
  <si>
    <t>Nautilus macromphalus</t>
  </si>
  <si>
    <t>Octopus vulgaris</t>
  </si>
  <si>
    <t>Sepia officinalis</t>
  </si>
  <si>
    <t>Bustamante et al 2000 [Fe]</t>
  </si>
  <si>
    <t>Miramand &amp; Bentley 1992 from Bustamante et al 2000 [Fe]</t>
  </si>
  <si>
    <t>Miramand &amp; Guary 1980 from Bustamante et al 2000 [Fe]</t>
  </si>
  <si>
    <t>Loligo vulgaris</t>
  </si>
  <si>
    <t>Lourenço et al 2009 [Fe]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</si>
</sst>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/>
    <xf numFmtId="2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1817D-DC41-417E-B597-CEE4D85C7D4A}">
  <dimension ref="A1:L226"/>
  <sheetViews>
    <sheetView tabSelected="1" workbookViewId="0">
      <pane ySplit="600" topLeftCell="A193" activePane="bottomLeft"/>
      <selection activeCell="D1" sqref="D1"/>
      <selection pane="bottomLeft" activeCell="H224" sqref="H224"/>
    </sheetView>
  </sheetViews>
  <sheetFormatPr baseColWidth="10" defaultRowHeight="14.5" x14ac:dyDescent="0.35"/>
  <cols>
    <col min="1" max="1" width="16.54296875" bestFit="1" customWidth="1"/>
    <col min="2" max="2" width="24.08984375" bestFit="1" customWidth="1"/>
    <col min="3" max="3" width="24.08984375" customWidth="1"/>
    <col min="4" max="4" width="12.7265625" bestFit="1" customWidth="1"/>
    <col min="5" max="5" width="18.90625" bestFit="1" customWidth="1"/>
    <col min="6" max="6" width="19.08984375" bestFit="1" customWidth="1"/>
    <col min="7" max="7" width="17.36328125" bestFit="1" customWidth="1"/>
    <col min="8" max="8" width="17.7265625" bestFit="1" customWidth="1"/>
    <col min="9" max="9" width="4.81640625" bestFit="1" customWidth="1"/>
    <col min="10" max="10" width="5.7265625" bestFit="1" customWidth="1"/>
    <col min="11" max="11" width="14" bestFit="1" customWidth="1"/>
    <col min="12" max="12" width="66" bestFit="1" customWidth="1"/>
  </cols>
  <sheetData>
    <row r="1" spans="1:12" s="1" customFormat="1" ht="15" thickBot="1" x14ac:dyDescent="0.4">
      <c r="A1" s="1" t="s">
        <v>9</v>
      </c>
      <c r="B1" s="1" t="s">
        <v>0</v>
      </c>
      <c r="C1" s="1" t="s">
        <v>15</v>
      </c>
      <c r="D1" s="1" t="s">
        <v>12</v>
      </c>
      <c r="E1" s="1" t="s">
        <v>30</v>
      </c>
      <c r="F1" s="1" t="s">
        <v>31</v>
      </c>
      <c r="G1" s="1" t="s">
        <v>32</v>
      </c>
      <c r="H1" s="1" t="s">
        <v>33</v>
      </c>
      <c r="I1" s="1" t="s">
        <v>10</v>
      </c>
      <c r="J1" s="1" t="s">
        <v>13</v>
      </c>
      <c r="K1" s="1" t="s">
        <v>51</v>
      </c>
      <c r="L1" s="1" t="s">
        <v>52</v>
      </c>
    </row>
    <row r="2" spans="1:12" x14ac:dyDescent="0.35">
      <c r="A2" t="s">
        <v>11</v>
      </c>
      <c r="B2" t="s">
        <v>1</v>
      </c>
      <c r="D2">
        <v>75.7</v>
      </c>
      <c r="E2" s="2">
        <f>D2*(1-(I2/100))</f>
        <v>17.259599999999999</v>
      </c>
      <c r="I2">
        <v>77.2</v>
      </c>
      <c r="L2" t="s">
        <v>64</v>
      </c>
    </row>
    <row r="3" spans="1:12" x14ac:dyDescent="0.35">
      <c r="A3" t="s">
        <v>11</v>
      </c>
      <c r="B3" t="s">
        <v>1</v>
      </c>
      <c r="D3">
        <v>33</v>
      </c>
      <c r="E3" s="2">
        <f t="shared" ref="E3:E17" si="0">D3*(1-(I3/100))</f>
        <v>7.5239999999999991</v>
      </c>
      <c r="I3">
        <v>77.2</v>
      </c>
      <c r="L3" t="s">
        <v>64</v>
      </c>
    </row>
    <row r="4" spans="1:12" x14ac:dyDescent="0.35">
      <c r="A4" t="s">
        <v>11</v>
      </c>
      <c r="B4" t="s">
        <v>1</v>
      </c>
      <c r="D4">
        <v>29.5</v>
      </c>
      <c r="E4" s="2">
        <f t="shared" si="0"/>
        <v>6.7259999999999991</v>
      </c>
      <c r="I4">
        <v>77.2</v>
      </c>
      <c r="L4" t="s">
        <v>64</v>
      </c>
    </row>
    <row r="5" spans="1:12" x14ac:dyDescent="0.35">
      <c r="A5" t="s">
        <v>11</v>
      </c>
      <c r="B5" t="s">
        <v>1</v>
      </c>
      <c r="D5">
        <v>23.3</v>
      </c>
      <c r="E5" s="2">
        <f t="shared" si="0"/>
        <v>5.3123999999999993</v>
      </c>
      <c r="I5">
        <v>77.2</v>
      </c>
      <c r="L5" t="s">
        <v>64</v>
      </c>
    </row>
    <row r="6" spans="1:12" x14ac:dyDescent="0.35">
      <c r="A6" t="s">
        <v>11</v>
      </c>
      <c r="B6" t="s">
        <v>1</v>
      </c>
      <c r="D6">
        <v>18.600000000000001</v>
      </c>
      <c r="E6" s="2">
        <f t="shared" si="0"/>
        <v>4.2408000000000001</v>
      </c>
      <c r="I6">
        <v>77.2</v>
      </c>
      <c r="L6" t="s">
        <v>64</v>
      </c>
    </row>
    <row r="7" spans="1:12" x14ac:dyDescent="0.35">
      <c r="A7" t="s">
        <v>11</v>
      </c>
      <c r="B7" t="s">
        <v>1</v>
      </c>
      <c r="D7">
        <v>11.3</v>
      </c>
      <c r="E7" s="2">
        <f t="shared" si="0"/>
        <v>2.5764</v>
      </c>
      <c r="I7">
        <v>77.2</v>
      </c>
      <c r="L7" t="s">
        <v>64</v>
      </c>
    </row>
    <row r="8" spans="1:12" x14ac:dyDescent="0.35">
      <c r="A8" t="s">
        <v>11</v>
      </c>
      <c r="B8" t="s">
        <v>1</v>
      </c>
      <c r="D8">
        <v>6.06</v>
      </c>
      <c r="E8" s="2">
        <f t="shared" si="0"/>
        <v>1.3816799999999998</v>
      </c>
      <c r="I8">
        <v>77.2</v>
      </c>
      <c r="L8" t="s">
        <v>64</v>
      </c>
    </row>
    <row r="9" spans="1:12" x14ac:dyDescent="0.35">
      <c r="A9" t="s">
        <v>11</v>
      </c>
      <c r="B9" t="s">
        <v>1</v>
      </c>
      <c r="D9">
        <v>9.8699999999999992</v>
      </c>
      <c r="E9" s="2">
        <f t="shared" si="0"/>
        <v>2.2503599999999997</v>
      </c>
      <c r="I9">
        <v>77.2</v>
      </c>
      <c r="L9" t="s">
        <v>64</v>
      </c>
    </row>
    <row r="10" spans="1:12" x14ac:dyDescent="0.35">
      <c r="A10" t="s">
        <v>11</v>
      </c>
      <c r="B10" t="s">
        <v>1</v>
      </c>
      <c r="D10">
        <v>10.11</v>
      </c>
      <c r="E10" s="2">
        <f t="shared" si="0"/>
        <v>2.3050799999999998</v>
      </c>
      <c r="I10">
        <v>77.2</v>
      </c>
      <c r="L10" t="s">
        <v>64</v>
      </c>
    </row>
    <row r="11" spans="1:12" x14ac:dyDescent="0.35">
      <c r="A11" t="s">
        <v>11</v>
      </c>
      <c r="B11" t="s">
        <v>1</v>
      </c>
      <c r="D11">
        <v>9.76</v>
      </c>
      <c r="E11" s="2">
        <f t="shared" si="0"/>
        <v>2.2252799999999997</v>
      </c>
      <c r="I11">
        <v>77.2</v>
      </c>
      <c r="L11" t="s">
        <v>64</v>
      </c>
    </row>
    <row r="12" spans="1:12" x14ac:dyDescent="0.35">
      <c r="A12" t="s">
        <v>11</v>
      </c>
      <c r="B12" t="s">
        <v>1</v>
      </c>
      <c r="D12">
        <v>52.4</v>
      </c>
      <c r="E12" s="2">
        <f t="shared" si="0"/>
        <v>11.947199999999999</v>
      </c>
      <c r="I12">
        <v>77.2</v>
      </c>
      <c r="L12" t="s">
        <v>64</v>
      </c>
    </row>
    <row r="13" spans="1:12" x14ac:dyDescent="0.35">
      <c r="A13" t="s">
        <v>11</v>
      </c>
      <c r="B13" t="s">
        <v>1</v>
      </c>
      <c r="D13">
        <v>26.7</v>
      </c>
      <c r="E13" s="2">
        <f t="shared" si="0"/>
        <v>6.0875999999999992</v>
      </c>
      <c r="I13">
        <v>77.2</v>
      </c>
      <c r="L13" t="s">
        <v>64</v>
      </c>
    </row>
    <row r="14" spans="1:12" x14ac:dyDescent="0.35">
      <c r="A14" t="s">
        <v>11</v>
      </c>
      <c r="B14" t="s">
        <v>1</v>
      </c>
      <c r="D14">
        <v>4.26</v>
      </c>
      <c r="E14" s="2">
        <f t="shared" si="0"/>
        <v>0.97127999999999992</v>
      </c>
      <c r="I14">
        <v>77.2</v>
      </c>
      <c r="L14" t="s">
        <v>64</v>
      </c>
    </row>
    <row r="15" spans="1:12" x14ac:dyDescent="0.35">
      <c r="A15" t="s">
        <v>11</v>
      </c>
      <c r="B15" t="s">
        <v>1</v>
      </c>
      <c r="D15">
        <v>81.3</v>
      </c>
      <c r="E15" s="2">
        <f t="shared" si="0"/>
        <v>18.536399999999997</v>
      </c>
      <c r="I15">
        <v>77.2</v>
      </c>
      <c r="L15" t="s">
        <v>64</v>
      </c>
    </row>
    <row r="16" spans="1:12" x14ac:dyDescent="0.35">
      <c r="A16" t="s">
        <v>11</v>
      </c>
      <c r="B16" t="s">
        <v>1</v>
      </c>
      <c r="D16">
        <v>15.65</v>
      </c>
      <c r="E16" s="2">
        <f t="shared" si="0"/>
        <v>3.5681999999999996</v>
      </c>
      <c r="G16">
        <f>5.65*(1-(I16/100))</f>
        <v>1.2882</v>
      </c>
      <c r="H16">
        <f>43*(1-(I16/100))</f>
        <v>9.8039999999999985</v>
      </c>
      <c r="I16">
        <v>77.2</v>
      </c>
      <c r="L16" t="s">
        <v>65</v>
      </c>
    </row>
    <row r="17" spans="1:12" x14ac:dyDescent="0.35">
      <c r="A17" t="s">
        <v>11</v>
      </c>
      <c r="B17" t="s">
        <v>1</v>
      </c>
      <c r="D17">
        <v>32.5</v>
      </c>
      <c r="E17" s="2">
        <f t="shared" si="0"/>
        <v>7.4099999999999993</v>
      </c>
      <c r="G17">
        <f>27.5*(1-(I17/100))</f>
        <v>6.27</v>
      </c>
      <c r="H17">
        <f>41.1*(1-(I17/100))</f>
        <v>9.3707999999999991</v>
      </c>
      <c r="I17">
        <v>77.2</v>
      </c>
      <c r="L17" t="s">
        <v>65</v>
      </c>
    </row>
    <row r="18" spans="1:12" x14ac:dyDescent="0.35">
      <c r="A18" t="s">
        <v>11</v>
      </c>
      <c r="B18" t="s">
        <v>1</v>
      </c>
      <c r="E18">
        <v>7.59</v>
      </c>
      <c r="F18">
        <v>0.02</v>
      </c>
      <c r="I18">
        <v>77.2</v>
      </c>
      <c r="L18" t="s">
        <v>66</v>
      </c>
    </row>
    <row r="19" spans="1:12" x14ac:dyDescent="0.35">
      <c r="A19" t="s">
        <v>11</v>
      </c>
      <c r="B19" t="s">
        <v>1</v>
      </c>
      <c r="E19">
        <v>5.71</v>
      </c>
      <c r="F19">
        <v>7.0000000000000007E-2</v>
      </c>
      <c r="I19">
        <v>77.2</v>
      </c>
      <c r="L19" t="s">
        <v>66</v>
      </c>
    </row>
    <row r="20" spans="1:12" x14ac:dyDescent="0.35">
      <c r="A20" t="s">
        <v>11</v>
      </c>
      <c r="B20" t="s">
        <v>1</v>
      </c>
      <c r="E20">
        <v>5.68</v>
      </c>
      <c r="F20">
        <v>0.02</v>
      </c>
      <c r="I20">
        <v>77.2</v>
      </c>
      <c r="L20" t="s">
        <v>66</v>
      </c>
    </row>
    <row r="21" spans="1:12" x14ac:dyDescent="0.35">
      <c r="A21" t="s">
        <v>11</v>
      </c>
      <c r="B21" t="s">
        <v>1</v>
      </c>
      <c r="D21">
        <v>58.5</v>
      </c>
      <c r="E21">
        <f t="shared" ref="E21:E39" si="1">D21*(1-(I21/100))</f>
        <v>13.337999999999999</v>
      </c>
      <c r="F21">
        <f>2*(1-I21/100)</f>
        <v>0.45599999999999996</v>
      </c>
      <c r="I21">
        <v>77.2</v>
      </c>
      <c r="L21" t="s">
        <v>66</v>
      </c>
    </row>
    <row r="22" spans="1:12" x14ac:dyDescent="0.35">
      <c r="A22" t="s">
        <v>11</v>
      </c>
      <c r="B22" t="s">
        <v>1</v>
      </c>
      <c r="D22">
        <v>62.9</v>
      </c>
      <c r="E22">
        <f t="shared" si="1"/>
        <v>14.341199999999999</v>
      </c>
      <c r="F22">
        <f>4.3*(1-I22/100)</f>
        <v>0.98039999999999983</v>
      </c>
      <c r="I22">
        <v>77.2</v>
      </c>
      <c r="L22" t="s">
        <v>66</v>
      </c>
    </row>
    <row r="23" spans="1:12" x14ac:dyDescent="0.35">
      <c r="A23" t="s">
        <v>11</v>
      </c>
      <c r="B23" t="s">
        <v>1</v>
      </c>
      <c r="D23">
        <v>174.3</v>
      </c>
      <c r="E23">
        <f t="shared" si="1"/>
        <v>39.740400000000001</v>
      </c>
      <c r="I23">
        <v>77.2</v>
      </c>
      <c r="L23" t="s">
        <v>67</v>
      </c>
    </row>
    <row r="24" spans="1:12" x14ac:dyDescent="0.35">
      <c r="A24" t="s">
        <v>14</v>
      </c>
      <c r="B24" t="s">
        <v>2</v>
      </c>
      <c r="D24">
        <v>151.1</v>
      </c>
      <c r="E24">
        <f t="shared" si="1"/>
        <v>34.450799999999994</v>
      </c>
      <c r="I24">
        <v>77.2</v>
      </c>
      <c r="L24" t="s">
        <v>67</v>
      </c>
    </row>
    <row r="25" spans="1:12" x14ac:dyDescent="0.35">
      <c r="A25" t="s">
        <v>14</v>
      </c>
      <c r="B25" t="s">
        <v>3</v>
      </c>
      <c r="D25">
        <v>91.4</v>
      </c>
      <c r="E25">
        <f t="shared" si="1"/>
        <v>20.839199999999998</v>
      </c>
      <c r="I25">
        <v>77.2</v>
      </c>
      <c r="L25" t="s">
        <v>67</v>
      </c>
    </row>
    <row r="26" spans="1:12" x14ac:dyDescent="0.35">
      <c r="A26" t="s">
        <v>14</v>
      </c>
      <c r="B26" t="s">
        <v>4</v>
      </c>
      <c r="D26">
        <v>62.1</v>
      </c>
      <c r="E26">
        <f t="shared" si="1"/>
        <v>14.158799999999999</v>
      </c>
      <c r="I26">
        <v>77.2</v>
      </c>
      <c r="L26" t="s">
        <v>67</v>
      </c>
    </row>
    <row r="27" spans="1:12" x14ac:dyDescent="0.35">
      <c r="A27" t="s">
        <v>14</v>
      </c>
      <c r="B27" t="s">
        <v>5</v>
      </c>
      <c r="D27">
        <v>36.5</v>
      </c>
      <c r="E27">
        <f t="shared" si="1"/>
        <v>8.3219999999999992</v>
      </c>
      <c r="I27">
        <v>77.2</v>
      </c>
      <c r="L27" t="s">
        <v>67</v>
      </c>
    </row>
    <row r="28" spans="1:12" x14ac:dyDescent="0.35">
      <c r="A28" t="s">
        <v>14</v>
      </c>
      <c r="B28" t="s">
        <v>6</v>
      </c>
      <c r="D28">
        <v>34.200000000000003</v>
      </c>
      <c r="E28">
        <f t="shared" si="1"/>
        <v>7.7976000000000001</v>
      </c>
      <c r="I28">
        <v>77.2</v>
      </c>
      <c r="L28" t="s">
        <v>67</v>
      </c>
    </row>
    <row r="29" spans="1:12" x14ac:dyDescent="0.35">
      <c r="A29" t="s">
        <v>14</v>
      </c>
      <c r="B29" t="s">
        <v>7</v>
      </c>
      <c r="D29">
        <v>12</v>
      </c>
      <c r="E29">
        <f t="shared" si="1"/>
        <v>2.7359999999999998</v>
      </c>
      <c r="F29">
        <f>3.3*(1-I29/100)</f>
        <v>0.75239999999999985</v>
      </c>
      <c r="I29">
        <v>77.2</v>
      </c>
      <c r="L29" t="s">
        <v>67</v>
      </c>
    </row>
    <row r="30" spans="1:12" x14ac:dyDescent="0.35">
      <c r="A30" t="s">
        <v>11</v>
      </c>
      <c r="B30" t="s">
        <v>1</v>
      </c>
      <c r="D30">
        <f>19.05/0.1</f>
        <v>190.5</v>
      </c>
      <c r="E30">
        <f t="shared" si="1"/>
        <v>43.433999999999997</v>
      </c>
      <c r="F30">
        <f>0.4*(1-I30/100)</f>
        <v>9.1200000000000003E-2</v>
      </c>
      <c r="I30">
        <v>77.2</v>
      </c>
      <c r="L30" t="s">
        <v>68</v>
      </c>
    </row>
    <row r="31" spans="1:12" x14ac:dyDescent="0.35">
      <c r="A31" t="s">
        <v>11</v>
      </c>
      <c r="B31" t="s">
        <v>1</v>
      </c>
      <c r="D31">
        <f>66.7</f>
        <v>66.7</v>
      </c>
      <c r="E31">
        <f t="shared" si="1"/>
        <v>15.207599999999999</v>
      </c>
      <c r="F31">
        <f>0.3*(1-I31/100)</f>
        <v>6.8399999999999989E-2</v>
      </c>
      <c r="I31">
        <v>77.2</v>
      </c>
      <c r="L31" t="s">
        <v>68</v>
      </c>
    </row>
    <row r="32" spans="1:12" x14ac:dyDescent="0.35">
      <c r="A32" t="s">
        <v>11</v>
      </c>
      <c r="B32" t="s">
        <v>1</v>
      </c>
      <c r="D32">
        <f>75.5</f>
        <v>75.5</v>
      </c>
      <c r="E32">
        <f t="shared" si="1"/>
        <v>17.213999999999999</v>
      </c>
      <c r="F32">
        <v>0</v>
      </c>
      <c r="I32">
        <v>77.2</v>
      </c>
      <c r="L32" t="s">
        <v>68</v>
      </c>
    </row>
    <row r="33" spans="1:12" x14ac:dyDescent="0.35">
      <c r="A33" t="s">
        <v>11</v>
      </c>
      <c r="B33" t="s">
        <v>1</v>
      </c>
      <c r="D33">
        <v>34.4</v>
      </c>
      <c r="E33">
        <f t="shared" si="1"/>
        <v>7.8431999999999986</v>
      </c>
      <c r="F33">
        <v>0</v>
      </c>
      <c r="I33">
        <v>77.2</v>
      </c>
      <c r="L33" t="s">
        <v>68</v>
      </c>
    </row>
    <row r="34" spans="1:12" x14ac:dyDescent="0.35">
      <c r="A34" t="s">
        <v>11</v>
      </c>
      <c r="B34" t="s">
        <v>1</v>
      </c>
      <c r="D34">
        <v>38.299999999999997</v>
      </c>
      <c r="E34">
        <f t="shared" si="1"/>
        <v>8.7323999999999984</v>
      </c>
      <c r="F34">
        <f>0.1*(1-I34/100)</f>
        <v>2.2800000000000001E-2</v>
      </c>
      <c r="I34">
        <v>77.2</v>
      </c>
      <c r="L34" t="s">
        <v>68</v>
      </c>
    </row>
    <row r="35" spans="1:12" x14ac:dyDescent="0.35">
      <c r="A35" t="s">
        <v>11</v>
      </c>
      <c r="B35" t="s">
        <v>1</v>
      </c>
      <c r="D35">
        <v>36.9</v>
      </c>
      <c r="E35">
        <f t="shared" si="1"/>
        <v>8.4131999999999998</v>
      </c>
      <c r="F35">
        <v>0</v>
      </c>
      <c r="I35">
        <v>77.2</v>
      </c>
      <c r="L35" t="s">
        <v>68</v>
      </c>
    </row>
    <row r="36" spans="1:12" x14ac:dyDescent="0.35">
      <c r="A36" t="s">
        <v>11</v>
      </c>
      <c r="D36">
        <v>52.2</v>
      </c>
      <c r="E36">
        <f t="shared" si="1"/>
        <v>11.9016</v>
      </c>
      <c r="I36">
        <v>77.2</v>
      </c>
      <c r="L36" t="s">
        <v>69</v>
      </c>
    </row>
    <row r="37" spans="1:12" x14ac:dyDescent="0.35">
      <c r="A37" t="s">
        <v>11</v>
      </c>
      <c r="D37">
        <v>55.4</v>
      </c>
      <c r="E37">
        <f t="shared" si="1"/>
        <v>12.631199999999998</v>
      </c>
      <c r="I37">
        <v>77.2</v>
      </c>
      <c r="L37" t="s">
        <v>69</v>
      </c>
    </row>
    <row r="38" spans="1:12" x14ac:dyDescent="0.35">
      <c r="A38" t="s">
        <v>11</v>
      </c>
      <c r="D38">
        <v>64.2</v>
      </c>
      <c r="E38">
        <f t="shared" si="1"/>
        <v>14.637599999999999</v>
      </c>
      <c r="I38">
        <v>77.2</v>
      </c>
      <c r="L38" t="s">
        <v>69</v>
      </c>
    </row>
    <row r="39" spans="1:12" x14ac:dyDescent="0.35">
      <c r="A39" t="s">
        <v>11</v>
      </c>
      <c r="D39">
        <v>52.8</v>
      </c>
      <c r="E39">
        <f t="shared" si="1"/>
        <v>12.038399999999998</v>
      </c>
      <c r="I39">
        <v>77.2</v>
      </c>
      <c r="L39" t="s">
        <v>69</v>
      </c>
    </row>
    <row r="40" spans="1:12" x14ac:dyDescent="0.35">
      <c r="A40" t="s">
        <v>11</v>
      </c>
      <c r="B40" t="s">
        <v>1</v>
      </c>
      <c r="I40">
        <v>77.2</v>
      </c>
      <c r="J40">
        <v>20.46</v>
      </c>
      <c r="K40">
        <f>J40*(1-(I40/100))</f>
        <v>4.6648800000000001</v>
      </c>
      <c r="L40" t="s">
        <v>70</v>
      </c>
    </row>
    <row r="41" spans="1:12" x14ac:dyDescent="0.35">
      <c r="A41" t="s">
        <v>14</v>
      </c>
      <c r="B41" t="s">
        <v>8</v>
      </c>
      <c r="K41">
        <v>5.8</v>
      </c>
      <c r="L41" t="s">
        <v>71</v>
      </c>
    </row>
    <row r="42" spans="1:12" x14ac:dyDescent="0.35">
      <c r="A42" t="s">
        <v>14</v>
      </c>
      <c r="B42" t="s">
        <v>8</v>
      </c>
      <c r="K42">
        <v>4.3</v>
      </c>
      <c r="L42" t="s">
        <v>71</v>
      </c>
    </row>
    <row r="43" spans="1:12" x14ac:dyDescent="0.35">
      <c r="A43" t="s">
        <v>14</v>
      </c>
      <c r="B43" t="s">
        <v>8</v>
      </c>
      <c r="K43">
        <v>4.5</v>
      </c>
      <c r="L43" t="s">
        <v>71</v>
      </c>
    </row>
    <row r="44" spans="1:12" x14ac:dyDescent="0.35">
      <c r="A44" t="s">
        <v>14</v>
      </c>
      <c r="B44" t="s">
        <v>8</v>
      </c>
      <c r="K44">
        <v>4.2</v>
      </c>
      <c r="L44" t="s">
        <v>71</v>
      </c>
    </row>
    <row r="45" spans="1:12" x14ac:dyDescent="0.35">
      <c r="A45" t="s">
        <v>14</v>
      </c>
      <c r="B45" t="s">
        <v>8</v>
      </c>
      <c r="K45">
        <v>2.4</v>
      </c>
      <c r="L45" t="s">
        <v>71</v>
      </c>
    </row>
    <row r="46" spans="1:12" x14ac:dyDescent="0.35">
      <c r="A46" t="s">
        <v>14</v>
      </c>
      <c r="B46" t="s">
        <v>8</v>
      </c>
      <c r="K46">
        <v>6.3</v>
      </c>
      <c r="L46" t="s">
        <v>71</v>
      </c>
    </row>
    <row r="47" spans="1:12" x14ac:dyDescent="0.35">
      <c r="A47" t="s">
        <v>14</v>
      </c>
      <c r="B47" t="s">
        <v>8</v>
      </c>
      <c r="K47">
        <v>5.3</v>
      </c>
      <c r="L47" t="s">
        <v>71</v>
      </c>
    </row>
    <row r="48" spans="1:12" x14ac:dyDescent="0.35">
      <c r="A48" t="s">
        <v>14</v>
      </c>
      <c r="B48" t="s">
        <v>8</v>
      </c>
      <c r="K48">
        <v>5.3</v>
      </c>
      <c r="L48" t="s">
        <v>71</v>
      </c>
    </row>
    <row r="49" spans="1:12" x14ac:dyDescent="0.35">
      <c r="A49" t="s">
        <v>14</v>
      </c>
      <c r="B49" t="s">
        <v>8</v>
      </c>
      <c r="K49">
        <v>4.2</v>
      </c>
      <c r="L49" t="s">
        <v>71</v>
      </c>
    </row>
    <row r="50" spans="1:12" x14ac:dyDescent="0.35">
      <c r="A50" t="s">
        <v>14</v>
      </c>
      <c r="B50" t="s">
        <v>8</v>
      </c>
      <c r="K50">
        <v>6.4</v>
      </c>
      <c r="L50" t="s">
        <v>71</v>
      </c>
    </row>
    <row r="51" spans="1:12" x14ac:dyDescent="0.35">
      <c r="A51" t="s">
        <v>14</v>
      </c>
      <c r="B51" t="s">
        <v>8</v>
      </c>
      <c r="K51">
        <v>5.6</v>
      </c>
      <c r="L51" t="s">
        <v>71</v>
      </c>
    </row>
    <row r="52" spans="1:12" x14ac:dyDescent="0.35">
      <c r="A52" t="s">
        <v>14</v>
      </c>
      <c r="B52" t="s">
        <v>8</v>
      </c>
      <c r="K52">
        <v>8.1999999999999993</v>
      </c>
      <c r="L52" t="s">
        <v>71</v>
      </c>
    </row>
    <row r="53" spans="1:12" x14ac:dyDescent="0.35">
      <c r="A53" t="s">
        <v>14</v>
      </c>
      <c r="B53" t="s">
        <v>8</v>
      </c>
      <c r="K53">
        <v>4.5999999999999996</v>
      </c>
      <c r="L53" t="s">
        <v>71</v>
      </c>
    </row>
    <row r="54" spans="1:12" x14ac:dyDescent="0.35">
      <c r="A54" t="s">
        <v>14</v>
      </c>
      <c r="B54" t="s">
        <v>8</v>
      </c>
      <c r="K54">
        <v>4.2</v>
      </c>
      <c r="L54" t="s">
        <v>71</v>
      </c>
    </row>
    <row r="55" spans="1:12" x14ac:dyDescent="0.35">
      <c r="A55" t="s">
        <v>11</v>
      </c>
      <c r="B55" t="s">
        <v>1</v>
      </c>
      <c r="K55">
        <v>4.6455000000000002</v>
      </c>
      <c r="L55" t="s">
        <v>72</v>
      </c>
    </row>
    <row r="56" spans="1:12" x14ac:dyDescent="0.35">
      <c r="A56" t="s">
        <v>16</v>
      </c>
      <c r="B56" t="s">
        <v>17</v>
      </c>
      <c r="C56" t="s">
        <v>18</v>
      </c>
      <c r="E56">
        <v>143</v>
      </c>
      <c r="F56">
        <v>31.6</v>
      </c>
      <c r="G56">
        <v>109</v>
      </c>
      <c r="H56">
        <v>204</v>
      </c>
      <c r="L56" t="s">
        <v>53</v>
      </c>
    </row>
    <row r="57" spans="1:12" x14ac:dyDescent="0.35">
      <c r="A57" t="s">
        <v>16</v>
      </c>
      <c r="B57" t="s">
        <v>17</v>
      </c>
      <c r="C57" t="s">
        <v>19</v>
      </c>
      <c r="E57">
        <v>733</v>
      </c>
      <c r="F57">
        <v>490</v>
      </c>
      <c r="G57">
        <v>233</v>
      </c>
      <c r="H57">
        <v>1670</v>
      </c>
      <c r="L57" t="s">
        <v>53</v>
      </c>
    </row>
    <row r="58" spans="1:12" x14ac:dyDescent="0.35">
      <c r="A58" t="s">
        <v>16</v>
      </c>
      <c r="B58" t="s">
        <v>17</v>
      </c>
      <c r="C58" t="s">
        <v>20</v>
      </c>
      <c r="E58">
        <v>104</v>
      </c>
      <c r="F58">
        <v>43.5</v>
      </c>
      <c r="G58">
        <v>52.8</v>
      </c>
      <c r="H58">
        <v>210</v>
      </c>
      <c r="L58" t="s">
        <v>53</v>
      </c>
    </row>
    <row r="59" spans="1:12" x14ac:dyDescent="0.35">
      <c r="A59" t="s">
        <v>16</v>
      </c>
      <c r="B59" t="s">
        <v>17</v>
      </c>
      <c r="C59" t="s">
        <v>21</v>
      </c>
      <c r="E59">
        <v>321</v>
      </c>
      <c r="F59">
        <v>104</v>
      </c>
      <c r="G59">
        <v>174</v>
      </c>
      <c r="H59">
        <v>501</v>
      </c>
      <c r="L59" t="s">
        <v>53</v>
      </c>
    </row>
    <row r="60" spans="1:12" x14ac:dyDescent="0.35">
      <c r="A60" t="s">
        <v>16</v>
      </c>
      <c r="B60" t="s">
        <v>17</v>
      </c>
      <c r="C60" t="s">
        <v>22</v>
      </c>
      <c r="E60">
        <v>560</v>
      </c>
      <c r="F60">
        <v>74</v>
      </c>
      <c r="G60">
        <v>471</v>
      </c>
      <c r="H60">
        <v>758</v>
      </c>
      <c r="L60" t="s">
        <v>53</v>
      </c>
    </row>
    <row r="61" spans="1:12" x14ac:dyDescent="0.35">
      <c r="A61" t="s">
        <v>16</v>
      </c>
      <c r="B61" t="s">
        <v>17</v>
      </c>
      <c r="C61" t="s">
        <v>23</v>
      </c>
      <c r="E61">
        <v>220</v>
      </c>
      <c r="F61">
        <v>68.8</v>
      </c>
      <c r="G61">
        <v>162</v>
      </c>
      <c r="H61">
        <v>360</v>
      </c>
      <c r="L61" t="s">
        <v>53</v>
      </c>
    </row>
    <row r="62" spans="1:12" x14ac:dyDescent="0.35">
      <c r="A62" t="s">
        <v>16</v>
      </c>
      <c r="B62" t="s">
        <v>17</v>
      </c>
      <c r="C62" t="s">
        <v>24</v>
      </c>
      <c r="E62">
        <v>23.8</v>
      </c>
      <c r="F62">
        <v>7.53</v>
      </c>
      <c r="G62">
        <v>12.9</v>
      </c>
      <c r="H62">
        <v>39.6</v>
      </c>
      <c r="L62" t="s">
        <v>53</v>
      </c>
    </row>
    <row r="63" spans="1:12" x14ac:dyDescent="0.35">
      <c r="A63" t="s">
        <v>16</v>
      </c>
      <c r="B63" t="s">
        <v>17</v>
      </c>
      <c r="C63" t="s">
        <v>25</v>
      </c>
      <c r="E63">
        <v>23.2</v>
      </c>
      <c r="F63">
        <v>15.3</v>
      </c>
      <c r="G63">
        <v>6.75</v>
      </c>
      <c r="H63">
        <v>57.4</v>
      </c>
      <c r="L63" t="s">
        <v>53</v>
      </c>
    </row>
    <row r="64" spans="1:12" x14ac:dyDescent="0.35">
      <c r="A64" t="s">
        <v>16</v>
      </c>
      <c r="B64" t="s">
        <v>17</v>
      </c>
      <c r="C64" t="s">
        <v>26</v>
      </c>
      <c r="E64">
        <v>0.3</v>
      </c>
      <c r="L64" t="s">
        <v>53</v>
      </c>
    </row>
    <row r="65" spans="1:12" x14ac:dyDescent="0.35">
      <c r="A65" t="s">
        <v>16</v>
      </c>
      <c r="B65" t="s">
        <v>17</v>
      </c>
      <c r="C65" t="s">
        <v>27</v>
      </c>
      <c r="E65">
        <v>182</v>
      </c>
      <c r="L65" t="s">
        <v>53</v>
      </c>
    </row>
    <row r="66" spans="1:12" x14ac:dyDescent="0.35">
      <c r="A66" t="s">
        <v>16</v>
      </c>
      <c r="B66" t="s">
        <v>17</v>
      </c>
      <c r="C66" t="s">
        <v>28</v>
      </c>
      <c r="E66">
        <v>762</v>
      </c>
      <c r="L66" t="s">
        <v>53</v>
      </c>
    </row>
    <row r="67" spans="1:12" x14ac:dyDescent="0.35">
      <c r="A67" t="s">
        <v>16</v>
      </c>
      <c r="B67" t="s">
        <v>17</v>
      </c>
      <c r="C67" t="s">
        <v>29</v>
      </c>
      <c r="E67">
        <v>36.6</v>
      </c>
      <c r="L67" t="s">
        <v>53</v>
      </c>
    </row>
    <row r="68" spans="1:12" x14ac:dyDescent="0.35">
      <c r="A68" t="s">
        <v>16</v>
      </c>
      <c r="B68" t="s">
        <v>17</v>
      </c>
      <c r="C68" t="s">
        <v>34</v>
      </c>
      <c r="E68">
        <v>25.1</v>
      </c>
      <c r="F68">
        <v>11.4</v>
      </c>
      <c r="G68">
        <v>12.4</v>
      </c>
      <c r="H68">
        <v>40</v>
      </c>
      <c r="L68" t="s">
        <v>53</v>
      </c>
    </row>
    <row r="69" spans="1:12" x14ac:dyDescent="0.35">
      <c r="A69" t="s">
        <v>16</v>
      </c>
      <c r="B69" t="s">
        <v>17</v>
      </c>
      <c r="C69" t="s">
        <v>35</v>
      </c>
      <c r="E69">
        <v>31</v>
      </c>
      <c r="F69">
        <v>8.6</v>
      </c>
      <c r="G69">
        <v>23.7</v>
      </c>
      <c r="H69">
        <v>43.1</v>
      </c>
      <c r="L69" t="s">
        <v>53</v>
      </c>
    </row>
    <row r="70" spans="1:12" x14ac:dyDescent="0.35">
      <c r="A70" t="s">
        <v>16</v>
      </c>
      <c r="B70" t="s">
        <v>17</v>
      </c>
      <c r="C70" t="s">
        <v>36</v>
      </c>
      <c r="E70">
        <v>102</v>
      </c>
      <c r="F70">
        <v>28.1</v>
      </c>
      <c r="G70">
        <v>68.7</v>
      </c>
      <c r="H70">
        <v>163</v>
      </c>
      <c r="L70" t="s">
        <v>53</v>
      </c>
    </row>
    <row r="71" spans="1:12" x14ac:dyDescent="0.35">
      <c r="A71" t="s">
        <v>37</v>
      </c>
      <c r="B71" t="s">
        <v>38</v>
      </c>
      <c r="C71" t="s">
        <v>19</v>
      </c>
      <c r="E71">
        <v>940</v>
      </c>
      <c r="L71" t="s">
        <v>54</v>
      </c>
    </row>
    <row r="72" spans="1:12" x14ac:dyDescent="0.35">
      <c r="A72" t="s">
        <v>37</v>
      </c>
      <c r="B72" t="s">
        <v>38</v>
      </c>
      <c r="C72" t="s">
        <v>39</v>
      </c>
      <c r="E72">
        <v>114</v>
      </c>
      <c r="L72" t="s">
        <v>54</v>
      </c>
    </row>
    <row r="73" spans="1:12" x14ac:dyDescent="0.35">
      <c r="A73" t="s">
        <v>37</v>
      </c>
      <c r="B73" t="s">
        <v>38</v>
      </c>
      <c r="C73" t="s">
        <v>40</v>
      </c>
      <c r="E73">
        <v>159</v>
      </c>
      <c r="L73" t="s">
        <v>54</v>
      </c>
    </row>
    <row r="74" spans="1:12" x14ac:dyDescent="0.35">
      <c r="A74" t="s">
        <v>37</v>
      </c>
      <c r="B74" t="s">
        <v>38</v>
      </c>
      <c r="C74" t="s">
        <v>20</v>
      </c>
      <c r="E74">
        <v>248</v>
      </c>
      <c r="L74" t="s">
        <v>54</v>
      </c>
    </row>
    <row r="75" spans="1:12" x14ac:dyDescent="0.35">
      <c r="A75" t="s">
        <v>37</v>
      </c>
      <c r="B75" t="s">
        <v>38</v>
      </c>
      <c r="C75" t="s">
        <v>27</v>
      </c>
      <c r="E75">
        <v>151</v>
      </c>
      <c r="L75" t="s">
        <v>54</v>
      </c>
    </row>
    <row r="76" spans="1:12" x14ac:dyDescent="0.35">
      <c r="A76" t="s">
        <v>37</v>
      </c>
      <c r="B76" t="s">
        <v>38</v>
      </c>
      <c r="C76" t="s">
        <v>28</v>
      </c>
      <c r="E76">
        <v>348</v>
      </c>
      <c r="L76" t="s">
        <v>54</v>
      </c>
    </row>
    <row r="77" spans="1:12" x14ac:dyDescent="0.35">
      <c r="A77" t="s">
        <v>37</v>
      </c>
      <c r="B77" t="s">
        <v>38</v>
      </c>
      <c r="C77" t="s">
        <v>21</v>
      </c>
      <c r="E77">
        <v>966</v>
      </c>
      <c r="L77" t="s">
        <v>54</v>
      </c>
    </row>
    <row r="78" spans="1:12" x14ac:dyDescent="0.35">
      <c r="A78" t="s">
        <v>37</v>
      </c>
      <c r="B78" t="s">
        <v>38</v>
      </c>
      <c r="C78" t="s">
        <v>23</v>
      </c>
      <c r="E78">
        <v>159</v>
      </c>
      <c r="L78" t="s">
        <v>54</v>
      </c>
    </row>
    <row r="79" spans="1:12" x14ac:dyDescent="0.35">
      <c r="A79" t="s">
        <v>37</v>
      </c>
      <c r="B79" t="s">
        <v>38</v>
      </c>
      <c r="C79" t="s">
        <v>26</v>
      </c>
      <c r="E79">
        <v>37.1</v>
      </c>
      <c r="L79" t="s">
        <v>54</v>
      </c>
    </row>
    <row r="80" spans="1:12" x14ac:dyDescent="0.35">
      <c r="A80" t="s">
        <v>37</v>
      </c>
      <c r="B80" t="s">
        <v>38</v>
      </c>
      <c r="C80" t="s">
        <v>41</v>
      </c>
      <c r="E80">
        <v>341</v>
      </c>
      <c r="L80" t="s">
        <v>54</v>
      </c>
    </row>
    <row r="81" spans="1:12" x14ac:dyDescent="0.35">
      <c r="A81" t="s">
        <v>37</v>
      </c>
      <c r="B81" t="s">
        <v>38</v>
      </c>
      <c r="C81" t="s">
        <v>35</v>
      </c>
      <c r="E81">
        <v>62.2</v>
      </c>
      <c r="L81" t="s">
        <v>54</v>
      </c>
    </row>
    <row r="82" spans="1:12" x14ac:dyDescent="0.35">
      <c r="A82" t="s">
        <v>37</v>
      </c>
      <c r="B82" t="s">
        <v>38</v>
      </c>
      <c r="C82" t="s">
        <v>42</v>
      </c>
      <c r="E82">
        <v>4</v>
      </c>
      <c r="L82" t="s">
        <v>54</v>
      </c>
    </row>
    <row r="83" spans="1:12" x14ac:dyDescent="0.35">
      <c r="A83" t="s">
        <v>37</v>
      </c>
      <c r="B83" t="s">
        <v>38</v>
      </c>
      <c r="C83" t="s">
        <v>22</v>
      </c>
      <c r="E83">
        <v>1119</v>
      </c>
      <c r="L83" t="s">
        <v>54</v>
      </c>
    </row>
    <row r="84" spans="1:12" x14ac:dyDescent="0.35">
      <c r="A84" t="s">
        <v>37</v>
      </c>
      <c r="B84" t="s">
        <v>38</v>
      </c>
      <c r="C84" t="s">
        <v>18</v>
      </c>
      <c r="E84">
        <v>267</v>
      </c>
      <c r="L84" t="s">
        <v>54</v>
      </c>
    </row>
    <row r="85" spans="1:12" x14ac:dyDescent="0.35">
      <c r="A85" t="s">
        <v>37</v>
      </c>
      <c r="B85" t="s">
        <v>38</v>
      </c>
      <c r="C85" t="s">
        <v>24</v>
      </c>
      <c r="E85">
        <v>448</v>
      </c>
      <c r="L85" t="s">
        <v>54</v>
      </c>
    </row>
    <row r="86" spans="1:12" x14ac:dyDescent="0.35">
      <c r="A86" t="s">
        <v>37</v>
      </c>
      <c r="B86" t="s">
        <v>38</v>
      </c>
      <c r="C86" t="s">
        <v>36</v>
      </c>
      <c r="E86">
        <v>229</v>
      </c>
      <c r="L86" t="s">
        <v>54</v>
      </c>
    </row>
    <row r="87" spans="1:12" x14ac:dyDescent="0.35">
      <c r="A87" t="s">
        <v>37</v>
      </c>
      <c r="B87" t="s">
        <v>38</v>
      </c>
      <c r="C87" t="s">
        <v>19</v>
      </c>
      <c r="E87">
        <v>389</v>
      </c>
      <c r="L87" t="s">
        <v>54</v>
      </c>
    </row>
    <row r="88" spans="1:12" x14ac:dyDescent="0.35">
      <c r="A88" t="s">
        <v>37</v>
      </c>
      <c r="B88" t="s">
        <v>38</v>
      </c>
      <c r="C88" t="s">
        <v>39</v>
      </c>
      <c r="E88">
        <v>89.5</v>
      </c>
      <c r="L88" t="s">
        <v>54</v>
      </c>
    </row>
    <row r="89" spans="1:12" x14ac:dyDescent="0.35">
      <c r="A89" t="s">
        <v>37</v>
      </c>
      <c r="B89" t="s">
        <v>38</v>
      </c>
      <c r="C89" t="s">
        <v>40</v>
      </c>
      <c r="E89">
        <v>124</v>
      </c>
      <c r="L89" t="s">
        <v>54</v>
      </c>
    </row>
    <row r="90" spans="1:12" x14ac:dyDescent="0.35">
      <c r="A90" t="s">
        <v>37</v>
      </c>
      <c r="B90" t="s">
        <v>38</v>
      </c>
      <c r="C90" t="s">
        <v>20</v>
      </c>
      <c r="E90">
        <v>138</v>
      </c>
      <c r="L90" t="s">
        <v>54</v>
      </c>
    </row>
    <row r="91" spans="1:12" x14ac:dyDescent="0.35">
      <c r="A91" t="s">
        <v>37</v>
      </c>
      <c r="B91" t="s">
        <v>38</v>
      </c>
      <c r="C91" t="s">
        <v>27</v>
      </c>
      <c r="E91">
        <v>160</v>
      </c>
      <c r="L91" t="s">
        <v>54</v>
      </c>
    </row>
    <row r="92" spans="1:12" x14ac:dyDescent="0.35">
      <c r="A92" t="s">
        <v>37</v>
      </c>
      <c r="B92" t="s">
        <v>38</v>
      </c>
      <c r="C92" t="s">
        <v>28</v>
      </c>
      <c r="E92">
        <v>319</v>
      </c>
      <c r="L92" t="s">
        <v>54</v>
      </c>
    </row>
    <row r="93" spans="1:12" x14ac:dyDescent="0.35">
      <c r="A93" t="s">
        <v>37</v>
      </c>
      <c r="B93" t="s">
        <v>38</v>
      </c>
      <c r="C93" t="s">
        <v>21</v>
      </c>
      <c r="E93">
        <v>711</v>
      </c>
      <c r="L93" t="s">
        <v>54</v>
      </c>
    </row>
    <row r="94" spans="1:12" x14ac:dyDescent="0.35">
      <c r="A94" t="s">
        <v>37</v>
      </c>
      <c r="B94" t="s">
        <v>38</v>
      </c>
      <c r="C94" t="s">
        <v>23</v>
      </c>
      <c r="E94">
        <v>618</v>
      </c>
      <c r="L94" t="s">
        <v>54</v>
      </c>
    </row>
    <row r="95" spans="1:12" x14ac:dyDescent="0.35">
      <c r="A95" t="s">
        <v>37</v>
      </c>
      <c r="B95" t="s">
        <v>38</v>
      </c>
      <c r="C95" t="s">
        <v>26</v>
      </c>
      <c r="E95">
        <v>7</v>
      </c>
      <c r="L95" t="s">
        <v>54</v>
      </c>
    </row>
    <row r="96" spans="1:12" x14ac:dyDescent="0.35">
      <c r="A96" t="s">
        <v>37</v>
      </c>
      <c r="B96" t="s">
        <v>38</v>
      </c>
      <c r="C96" t="s">
        <v>41</v>
      </c>
      <c r="E96">
        <v>22.7</v>
      </c>
      <c r="L96" t="s">
        <v>54</v>
      </c>
    </row>
    <row r="97" spans="1:12" x14ac:dyDescent="0.35">
      <c r="A97" t="s">
        <v>37</v>
      </c>
      <c r="B97" t="s">
        <v>38</v>
      </c>
      <c r="C97" t="s">
        <v>35</v>
      </c>
      <c r="E97">
        <v>14</v>
      </c>
      <c r="L97" t="s">
        <v>54</v>
      </c>
    </row>
    <row r="98" spans="1:12" x14ac:dyDescent="0.35">
      <c r="A98" t="s">
        <v>37</v>
      </c>
      <c r="B98" t="s">
        <v>38</v>
      </c>
      <c r="C98" t="s">
        <v>42</v>
      </c>
      <c r="E98">
        <v>4.9000000000000004</v>
      </c>
      <c r="L98" t="s">
        <v>54</v>
      </c>
    </row>
    <row r="99" spans="1:12" x14ac:dyDescent="0.35">
      <c r="A99" t="s">
        <v>37</v>
      </c>
      <c r="B99" t="s">
        <v>38</v>
      </c>
      <c r="C99" t="s">
        <v>22</v>
      </c>
      <c r="E99">
        <v>599</v>
      </c>
      <c r="L99" t="s">
        <v>54</v>
      </c>
    </row>
    <row r="100" spans="1:12" x14ac:dyDescent="0.35">
      <c r="A100" t="s">
        <v>37</v>
      </c>
      <c r="B100" t="s">
        <v>38</v>
      </c>
      <c r="C100" t="s">
        <v>18</v>
      </c>
      <c r="E100">
        <v>237</v>
      </c>
      <c r="L100" t="s">
        <v>54</v>
      </c>
    </row>
    <row r="101" spans="1:12" x14ac:dyDescent="0.35">
      <c r="A101" t="s">
        <v>37</v>
      </c>
      <c r="B101" t="s">
        <v>38</v>
      </c>
      <c r="C101" t="s">
        <v>24</v>
      </c>
      <c r="E101">
        <v>327</v>
      </c>
      <c r="L101" t="s">
        <v>54</v>
      </c>
    </row>
    <row r="102" spans="1:12" x14ac:dyDescent="0.35">
      <c r="A102" t="s">
        <v>37</v>
      </c>
      <c r="B102" t="s">
        <v>38</v>
      </c>
      <c r="C102" t="s">
        <v>36</v>
      </c>
      <c r="E102">
        <v>141</v>
      </c>
      <c r="L102" t="s">
        <v>54</v>
      </c>
    </row>
    <row r="103" spans="1:12" x14ac:dyDescent="0.35">
      <c r="A103" t="s">
        <v>37</v>
      </c>
      <c r="B103" t="s">
        <v>38</v>
      </c>
      <c r="C103" t="s">
        <v>19</v>
      </c>
      <c r="E103">
        <v>403</v>
      </c>
      <c r="L103" t="s">
        <v>54</v>
      </c>
    </row>
    <row r="104" spans="1:12" x14ac:dyDescent="0.35">
      <c r="A104" t="s">
        <v>37</v>
      </c>
      <c r="B104" t="s">
        <v>38</v>
      </c>
      <c r="C104" t="s">
        <v>20</v>
      </c>
      <c r="E104">
        <v>222</v>
      </c>
      <c r="L104" t="s">
        <v>54</v>
      </c>
    </row>
    <row r="105" spans="1:12" x14ac:dyDescent="0.35">
      <c r="A105" t="s">
        <v>37</v>
      </c>
      <c r="B105" t="s">
        <v>38</v>
      </c>
      <c r="C105" t="s">
        <v>27</v>
      </c>
      <c r="E105">
        <v>140</v>
      </c>
      <c r="L105" t="s">
        <v>54</v>
      </c>
    </row>
    <row r="106" spans="1:12" x14ac:dyDescent="0.35">
      <c r="A106" t="s">
        <v>37</v>
      </c>
      <c r="B106" t="s">
        <v>38</v>
      </c>
      <c r="C106" t="s">
        <v>28</v>
      </c>
      <c r="E106">
        <v>234</v>
      </c>
      <c r="L106" t="s">
        <v>54</v>
      </c>
    </row>
    <row r="107" spans="1:12" x14ac:dyDescent="0.35">
      <c r="A107" t="s">
        <v>37</v>
      </c>
      <c r="B107" t="s">
        <v>38</v>
      </c>
      <c r="C107" t="s">
        <v>21</v>
      </c>
      <c r="E107">
        <v>351</v>
      </c>
      <c r="L107" t="s">
        <v>54</v>
      </c>
    </row>
    <row r="108" spans="1:12" x14ac:dyDescent="0.35">
      <c r="A108" t="s">
        <v>37</v>
      </c>
      <c r="B108" t="s">
        <v>38</v>
      </c>
      <c r="C108" t="s">
        <v>23</v>
      </c>
      <c r="E108">
        <v>359</v>
      </c>
      <c r="L108" t="s">
        <v>54</v>
      </c>
    </row>
    <row r="109" spans="1:12" x14ac:dyDescent="0.35">
      <c r="A109" t="s">
        <v>37</v>
      </c>
      <c r="B109" t="s">
        <v>38</v>
      </c>
      <c r="C109" t="s">
        <v>26</v>
      </c>
      <c r="E109">
        <v>33.700000000000003</v>
      </c>
      <c r="L109" t="s">
        <v>54</v>
      </c>
    </row>
    <row r="110" spans="1:12" x14ac:dyDescent="0.35">
      <c r="A110" t="s">
        <v>37</v>
      </c>
      <c r="B110" t="s">
        <v>38</v>
      </c>
      <c r="C110" t="s">
        <v>41</v>
      </c>
      <c r="E110">
        <v>18.2</v>
      </c>
      <c r="L110" t="s">
        <v>54</v>
      </c>
    </row>
    <row r="111" spans="1:12" x14ac:dyDescent="0.35">
      <c r="A111" t="s">
        <v>37</v>
      </c>
      <c r="B111" t="s">
        <v>38</v>
      </c>
      <c r="C111" t="s">
        <v>35</v>
      </c>
      <c r="E111">
        <v>59</v>
      </c>
      <c r="L111" t="s">
        <v>54</v>
      </c>
    </row>
    <row r="112" spans="1:12" x14ac:dyDescent="0.35">
      <c r="A112" t="s">
        <v>37</v>
      </c>
      <c r="B112" t="s">
        <v>38</v>
      </c>
      <c r="C112" t="s">
        <v>42</v>
      </c>
      <c r="E112">
        <v>35.5</v>
      </c>
      <c r="L112" t="s">
        <v>54</v>
      </c>
    </row>
    <row r="113" spans="1:12" x14ac:dyDescent="0.35">
      <c r="A113" t="s">
        <v>37</v>
      </c>
      <c r="B113" t="s">
        <v>38</v>
      </c>
      <c r="C113" t="s">
        <v>22</v>
      </c>
      <c r="E113">
        <v>497</v>
      </c>
      <c r="L113" t="s">
        <v>54</v>
      </c>
    </row>
    <row r="114" spans="1:12" x14ac:dyDescent="0.35">
      <c r="A114" t="s">
        <v>37</v>
      </c>
      <c r="B114" t="s">
        <v>38</v>
      </c>
      <c r="C114" t="s">
        <v>18</v>
      </c>
      <c r="E114">
        <v>146</v>
      </c>
      <c r="L114" t="s">
        <v>54</v>
      </c>
    </row>
    <row r="115" spans="1:12" x14ac:dyDescent="0.35">
      <c r="A115" t="s">
        <v>37</v>
      </c>
      <c r="B115" t="s">
        <v>38</v>
      </c>
      <c r="C115" t="s">
        <v>24</v>
      </c>
      <c r="E115">
        <v>178</v>
      </c>
      <c r="L115" t="s">
        <v>54</v>
      </c>
    </row>
    <row r="116" spans="1:12" x14ac:dyDescent="0.35">
      <c r="A116" t="s">
        <v>37</v>
      </c>
      <c r="B116" t="s">
        <v>38</v>
      </c>
      <c r="C116" t="s">
        <v>36</v>
      </c>
      <c r="E116">
        <v>229</v>
      </c>
      <c r="L116" t="s">
        <v>54</v>
      </c>
    </row>
    <row r="117" spans="1:12" x14ac:dyDescent="0.35">
      <c r="A117" t="s">
        <v>16</v>
      </c>
      <c r="B117" t="s">
        <v>46</v>
      </c>
      <c r="C117" t="s">
        <v>18</v>
      </c>
      <c r="D117">
        <v>620</v>
      </c>
      <c r="E117">
        <f>D117*0.2</f>
        <v>124</v>
      </c>
      <c r="F117">
        <f>40*0.2</f>
        <v>8</v>
      </c>
      <c r="G117">
        <f>570*0.2</f>
        <v>114</v>
      </c>
      <c r="H117">
        <f>660*0.2</f>
        <v>132</v>
      </c>
      <c r="I117">
        <v>80</v>
      </c>
      <c r="L117" t="s">
        <v>55</v>
      </c>
    </row>
    <row r="118" spans="1:12" x14ac:dyDescent="0.35">
      <c r="A118" t="s">
        <v>16</v>
      </c>
      <c r="B118" t="s">
        <v>46</v>
      </c>
      <c r="C118" t="s">
        <v>19</v>
      </c>
      <c r="D118">
        <v>1310</v>
      </c>
      <c r="E118">
        <f>D118*0.2</f>
        <v>262</v>
      </c>
      <c r="F118">
        <f>130*0.2</f>
        <v>26</v>
      </c>
      <c r="G118">
        <f>1170*0.2</f>
        <v>234</v>
      </c>
      <c r="H118">
        <f>1500*0.2</f>
        <v>300</v>
      </c>
      <c r="I118">
        <v>80</v>
      </c>
      <c r="L118" t="s">
        <v>55</v>
      </c>
    </row>
    <row r="119" spans="1:12" x14ac:dyDescent="0.35">
      <c r="A119" t="s">
        <v>16</v>
      </c>
      <c r="B119" t="s">
        <v>17</v>
      </c>
      <c r="C119" t="s">
        <v>18</v>
      </c>
      <c r="D119">
        <v>720</v>
      </c>
      <c r="E119">
        <f>720*0.2</f>
        <v>144</v>
      </c>
      <c r="F119">
        <f>170*0.2</f>
        <v>34</v>
      </c>
      <c r="G119">
        <f>370*0.2</f>
        <v>74</v>
      </c>
      <c r="H119">
        <f>960*0.2</f>
        <v>192</v>
      </c>
      <c r="I119">
        <v>80</v>
      </c>
      <c r="L119" t="s">
        <v>55</v>
      </c>
    </row>
    <row r="120" spans="1:12" x14ac:dyDescent="0.35">
      <c r="A120" t="s">
        <v>16</v>
      </c>
      <c r="B120" t="s">
        <v>17</v>
      </c>
      <c r="C120" t="s">
        <v>19</v>
      </c>
      <c r="D120">
        <v>2660</v>
      </c>
      <c r="E120">
        <f t="shared" ref="E120:E131" si="2">D120*0.2</f>
        <v>532</v>
      </c>
      <c r="F120">
        <f>100*0.2</f>
        <v>20</v>
      </c>
      <c r="G120">
        <f>2400*0.2</f>
        <v>480</v>
      </c>
      <c r="H120">
        <f>2720*0.2</f>
        <v>544</v>
      </c>
      <c r="I120">
        <v>80</v>
      </c>
      <c r="L120" t="s">
        <v>55</v>
      </c>
    </row>
    <row r="121" spans="1:12" x14ac:dyDescent="0.35">
      <c r="A121" t="s">
        <v>16</v>
      </c>
      <c r="B121" t="s">
        <v>43</v>
      </c>
      <c r="C121" t="s">
        <v>18</v>
      </c>
      <c r="D121">
        <f>780</f>
        <v>780</v>
      </c>
      <c r="E121">
        <f t="shared" si="2"/>
        <v>156</v>
      </c>
      <c r="F121">
        <f>90*0.2</f>
        <v>18</v>
      </c>
      <c r="G121">
        <f>650*0.2</f>
        <v>130</v>
      </c>
      <c r="H121">
        <f>870*0.2</f>
        <v>174</v>
      </c>
      <c r="I121">
        <v>80</v>
      </c>
      <c r="L121" t="s">
        <v>55</v>
      </c>
    </row>
    <row r="122" spans="1:12" x14ac:dyDescent="0.35">
      <c r="A122" t="s">
        <v>16</v>
      </c>
      <c r="B122" t="s">
        <v>43</v>
      </c>
      <c r="C122" t="s">
        <v>19</v>
      </c>
      <c r="D122">
        <f>1880</f>
        <v>1880</v>
      </c>
      <c r="E122">
        <f t="shared" si="2"/>
        <v>376</v>
      </c>
      <c r="F122">
        <f>110*0.2</f>
        <v>22</v>
      </c>
      <c r="G122">
        <f>1740*0.2</f>
        <v>348</v>
      </c>
      <c r="H122">
        <f>2010*0.2</f>
        <v>402</v>
      </c>
      <c r="I122">
        <v>80</v>
      </c>
      <c r="L122" t="s">
        <v>55</v>
      </c>
    </row>
    <row r="123" spans="1:12" x14ac:dyDescent="0.35">
      <c r="A123" t="s">
        <v>37</v>
      </c>
      <c r="B123" t="s">
        <v>44</v>
      </c>
      <c r="C123" t="s">
        <v>18</v>
      </c>
      <c r="D123">
        <v>570</v>
      </c>
      <c r="E123">
        <f t="shared" si="2"/>
        <v>114</v>
      </c>
      <c r="F123">
        <f>90*0.2</f>
        <v>18</v>
      </c>
      <c r="G123">
        <f>300*0.2</f>
        <v>60</v>
      </c>
      <c r="H123">
        <f>700*0.2</f>
        <v>140</v>
      </c>
      <c r="I123">
        <v>80</v>
      </c>
      <c r="L123" t="s">
        <v>56</v>
      </c>
    </row>
    <row r="124" spans="1:12" x14ac:dyDescent="0.35">
      <c r="A124" t="s">
        <v>37</v>
      </c>
      <c r="B124" t="s">
        <v>44</v>
      </c>
      <c r="C124" t="s">
        <v>19</v>
      </c>
      <c r="D124">
        <v>12600</v>
      </c>
      <c r="E124">
        <f t="shared" si="2"/>
        <v>2520</v>
      </c>
      <c r="F124">
        <f>8000*0.2</f>
        <v>1600</v>
      </c>
      <c r="G124">
        <f>3000*0.2</f>
        <v>600</v>
      </c>
      <c r="H124">
        <f>28000*0.2</f>
        <v>5600</v>
      </c>
      <c r="I124">
        <v>80</v>
      </c>
      <c r="L124" t="s">
        <v>56</v>
      </c>
    </row>
    <row r="125" spans="1:12" x14ac:dyDescent="0.35">
      <c r="A125" t="s">
        <v>37</v>
      </c>
      <c r="B125" t="s">
        <v>44</v>
      </c>
      <c r="C125" t="s">
        <v>23</v>
      </c>
      <c r="D125">
        <v>460</v>
      </c>
      <c r="E125">
        <f t="shared" si="2"/>
        <v>92</v>
      </c>
      <c r="F125">
        <f>100*0.2</f>
        <v>20</v>
      </c>
      <c r="G125">
        <f>300*0.2</f>
        <v>60</v>
      </c>
      <c r="H125">
        <f>690*0.2</f>
        <v>138</v>
      </c>
      <c r="I125">
        <v>80</v>
      </c>
      <c r="L125" t="s">
        <v>56</v>
      </c>
    </row>
    <row r="126" spans="1:12" x14ac:dyDescent="0.35">
      <c r="A126" t="s">
        <v>37</v>
      </c>
      <c r="B126" t="s">
        <v>45</v>
      </c>
      <c r="C126" t="s">
        <v>18</v>
      </c>
      <c r="D126">
        <v>690</v>
      </c>
      <c r="E126">
        <f t="shared" si="2"/>
        <v>138</v>
      </c>
      <c r="F126">
        <f>80*0.2</f>
        <v>16</v>
      </c>
      <c r="G126">
        <f>570*0.2</f>
        <v>114</v>
      </c>
      <c r="H126">
        <f>850*0.2</f>
        <v>170</v>
      </c>
      <c r="I126">
        <v>80</v>
      </c>
      <c r="L126" t="s">
        <v>56</v>
      </c>
    </row>
    <row r="127" spans="1:12" x14ac:dyDescent="0.35">
      <c r="A127" t="s">
        <v>37</v>
      </c>
      <c r="B127" t="s">
        <v>45</v>
      </c>
      <c r="C127" t="s">
        <v>19</v>
      </c>
      <c r="D127">
        <v>2630</v>
      </c>
      <c r="E127">
        <f t="shared" si="2"/>
        <v>526</v>
      </c>
      <c r="F127">
        <f>430*0.2</f>
        <v>86</v>
      </c>
      <c r="G127">
        <f>2100*0.2</f>
        <v>420</v>
      </c>
      <c r="H127">
        <f>3640*0.2</f>
        <v>728</v>
      </c>
      <c r="I127">
        <v>80</v>
      </c>
      <c r="L127" t="s">
        <v>56</v>
      </c>
    </row>
    <row r="128" spans="1:12" x14ac:dyDescent="0.35">
      <c r="A128" t="s">
        <v>37</v>
      </c>
      <c r="B128" t="s">
        <v>45</v>
      </c>
      <c r="C128" t="s">
        <v>23</v>
      </c>
      <c r="D128">
        <v>600</v>
      </c>
      <c r="E128">
        <f t="shared" si="2"/>
        <v>120</v>
      </c>
      <c r="F128">
        <f>70*0.2</f>
        <v>14</v>
      </c>
      <c r="G128">
        <f>500*0.2</f>
        <v>100</v>
      </c>
      <c r="H128">
        <f>810*0.2</f>
        <v>162</v>
      </c>
      <c r="I128">
        <v>80</v>
      </c>
      <c r="L128" t="s">
        <v>56</v>
      </c>
    </row>
    <row r="129" spans="1:12" x14ac:dyDescent="0.35">
      <c r="A129" t="s">
        <v>37</v>
      </c>
      <c r="B129" t="s">
        <v>38</v>
      </c>
      <c r="C129" t="s">
        <v>18</v>
      </c>
      <c r="D129">
        <v>1100</v>
      </c>
      <c r="E129">
        <f t="shared" si="2"/>
        <v>220</v>
      </c>
      <c r="F129">
        <f>200*0.2</f>
        <v>40</v>
      </c>
      <c r="G129">
        <f>870*0.2</f>
        <v>174</v>
      </c>
      <c r="H129">
        <f>1420*0.2</f>
        <v>284</v>
      </c>
      <c r="I129">
        <v>80</v>
      </c>
      <c r="L129" t="s">
        <v>56</v>
      </c>
    </row>
    <row r="130" spans="1:12" x14ac:dyDescent="0.35">
      <c r="A130" t="s">
        <v>37</v>
      </c>
      <c r="B130" t="s">
        <v>38</v>
      </c>
      <c r="C130" t="s">
        <v>19</v>
      </c>
      <c r="D130">
        <v>2220</v>
      </c>
      <c r="E130">
        <f t="shared" si="2"/>
        <v>444</v>
      </c>
      <c r="F130">
        <f>1020*0.2</f>
        <v>204</v>
      </c>
      <c r="G130">
        <f>1090*0.2</f>
        <v>218</v>
      </c>
      <c r="H130">
        <f>3570*0.2</f>
        <v>714</v>
      </c>
      <c r="I130">
        <v>80</v>
      </c>
      <c r="L130" t="s">
        <v>56</v>
      </c>
    </row>
    <row r="131" spans="1:12" x14ac:dyDescent="0.35">
      <c r="A131" t="s">
        <v>37</v>
      </c>
      <c r="B131" t="s">
        <v>38</v>
      </c>
      <c r="C131" t="s">
        <v>23</v>
      </c>
      <c r="D131">
        <v>440</v>
      </c>
      <c r="E131">
        <f t="shared" si="2"/>
        <v>88</v>
      </c>
      <c r="F131">
        <f>60*0.2</f>
        <v>12</v>
      </c>
      <c r="G131">
        <f>330*0.2</f>
        <v>66</v>
      </c>
      <c r="H131">
        <f>510*0.2</f>
        <v>102</v>
      </c>
      <c r="I131">
        <v>80</v>
      </c>
      <c r="L131" t="s">
        <v>56</v>
      </c>
    </row>
    <row r="132" spans="1:12" x14ac:dyDescent="0.35">
      <c r="A132" t="s">
        <v>16</v>
      </c>
      <c r="B132" t="s">
        <v>17</v>
      </c>
      <c r="C132" t="s">
        <v>19</v>
      </c>
      <c r="E132">
        <v>565</v>
      </c>
      <c r="F132">
        <v>851</v>
      </c>
      <c r="L132" t="s">
        <v>57</v>
      </c>
    </row>
    <row r="133" spans="1:12" x14ac:dyDescent="0.35">
      <c r="A133" t="s">
        <v>16</v>
      </c>
      <c r="B133" t="s">
        <v>17</v>
      </c>
      <c r="C133" t="s">
        <v>23</v>
      </c>
      <c r="E133">
        <v>112.9</v>
      </c>
      <c r="F133">
        <v>31.7</v>
      </c>
      <c r="L133" t="s">
        <v>57</v>
      </c>
    </row>
    <row r="134" spans="1:12" x14ac:dyDescent="0.35">
      <c r="A134" t="s">
        <v>16</v>
      </c>
      <c r="B134" t="s">
        <v>17</v>
      </c>
      <c r="C134" t="s">
        <v>18</v>
      </c>
      <c r="E134">
        <v>68.8</v>
      </c>
      <c r="F134">
        <v>29.4</v>
      </c>
      <c r="L134" t="s">
        <v>57</v>
      </c>
    </row>
    <row r="135" spans="1:12" x14ac:dyDescent="0.35">
      <c r="A135" t="s">
        <v>16</v>
      </c>
      <c r="B135" t="s">
        <v>17</v>
      </c>
      <c r="C135" t="s">
        <v>18</v>
      </c>
      <c r="E135">
        <v>37.799999999999997</v>
      </c>
      <c r="F135">
        <v>9.8000000000000007</v>
      </c>
      <c r="L135" t="s">
        <v>57</v>
      </c>
    </row>
    <row r="136" spans="1:12" x14ac:dyDescent="0.35">
      <c r="A136" t="s">
        <v>16</v>
      </c>
      <c r="B136" t="s">
        <v>17</v>
      </c>
      <c r="C136" t="s">
        <v>35</v>
      </c>
      <c r="E136">
        <v>88.2</v>
      </c>
      <c r="F136">
        <v>56.7</v>
      </c>
      <c r="L136" t="s">
        <v>57</v>
      </c>
    </row>
    <row r="137" spans="1:12" x14ac:dyDescent="0.35">
      <c r="A137" t="s">
        <v>16</v>
      </c>
      <c r="B137" t="s">
        <v>17</v>
      </c>
      <c r="C137" t="s">
        <v>25</v>
      </c>
      <c r="E137">
        <v>759.1</v>
      </c>
      <c r="F137">
        <v>1627.7</v>
      </c>
      <c r="L137" t="s">
        <v>57</v>
      </c>
    </row>
    <row r="138" spans="1:12" x14ac:dyDescent="0.35">
      <c r="A138" t="s">
        <v>16</v>
      </c>
      <c r="B138" t="s">
        <v>17</v>
      </c>
      <c r="C138" t="s">
        <v>19</v>
      </c>
      <c r="E138">
        <v>635.1</v>
      </c>
      <c r="F138">
        <v>215.8</v>
      </c>
      <c r="L138" t="s">
        <v>57</v>
      </c>
    </row>
    <row r="139" spans="1:12" x14ac:dyDescent="0.35">
      <c r="A139" t="s">
        <v>16</v>
      </c>
      <c r="B139" t="s">
        <v>17</v>
      </c>
      <c r="C139" t="s">
        <v>23</v>
      </c>
      <c r="E139">
        <v>279.60000000000002</v>
      </c>
      <c r="F139">
        <v>43.9</v>
      </c>
      <c r="L139" t="s">
        <v>57</v>
      </c>
    </row>
    <row r="140" spans="1:12" x14ac:dyDescent="0.35">
      <c r="A140" t="s">
        <v>16</v>
      </c>
      <c r="B140" t="s">
        <v>17</v>
      </c>
      <c r="C140" t="s">
        <v>18</v>
      </c>
      <c r="E140">
        <v>298.2</v>
      </c>
      <c r="F140">
        <v>41.1</v>
      </c>
      <c r="L140" t="s">
        <v>57</v>
      </c>
    </row>
    <row r="141" spans="1:12" x14ac:dyDescent="0.35">
      <c r="A141" t="s">
        <v>16</v>
      </c>
      <c r="B141" t="s">
        <v>17</v>
      </c>
      <c r="C141" t="s">
        <v>18</v>
      </c>
      <c r="E141">
        <v>140.4</v>
      </c>
      <c r="F141">
        <v>21.9</v>
      </c>
      <c r="L141" t="s">
        <v>57</v>
      </c>
    </row>
    <row r="142" spans="1:12" x14ac:dyDescent="0.35">
      <c r="A142" t="s">
        <v>16</v>
      </c>
      <c r="B142" t="s">
        <v>17</v>
      </c>
      <c r="C142" t="s">
        <v>35</v>
      </c>
      <c r="E142">
        <v>107.3</v>
      </c>
      <c r="F142">
        <v>49.4</v>
      </c>
      <c r="L142" t="s">
        <v>57</v>
      </c>
    </row>
    <row r="143" spans="1:12" x14ac:dyDescent="0.35">
      <c r="A143" t="s">
        <v>16</v>
      </c>
      <c r="B143" t="s">
        <v>17</v>
      </c>
      <c r="C143" t="s">
        <v>25</v>
      </c>
      <c r="E143">
        <v>44.3</v>
      </c>
      <c r="F143">
        <v>19.899999999999999</v>
      </c>
      <c r="L143" t="s">
        <v>57</v>
      </c>
    </row>
    <row r="144" spans="1:12" x14ac:dyDescent="0.35">
      <c r="A144" t="s">
        <v>16</v>
      </c>
      <c r="B144" t="s">
        <v>46</v>
      </c>
      <c r="C144" t="s">
        <v>25</v>
      </c>
      <c r="D144">
        <v>77.599999999999994</v>
      </c>
      <c r="E144">
        <f>D144*0.2</f>
        <v>15.52</v>
      </c>
      <c r="F144">
        <f>134.55*0.2</f>
        <v>26.910000000000004</v>
      </c>
      <c r="I144">
        <v>80</v>
      </c>
      <c r="L144" t="s">
        <v>58</v>
      </c>
    </row>
    <row r="145" spans="1:12" x14ac:dyDescent="0.35">
      <c r="A145" t="s">
        <v>16</v>
      </c>
      <c r="B145" t="s">
        <v>46</v>
      </c>
      <c r="C145" t="s">
        <v>25</v>
      </c>
      <c r="D145">
        <v>35.130000000000003</v>
      </c>
      <c r="E145">
        <f>D145*0.2</f>
        <v>7.0260000000000007</v>
      </c>
      <c r="F145">
        <f>37.91*0.2</f>
        <v>7.5819999999999999</v>
      </c>
      <c r="I145">
        <v>80</v>
      </c>
      <c r="L145" t="s">
        <v>58</v>
      </c>
    </row>
    <row r="146" spans="1:12" x14ac:dyDescent="0.35">
      <c r="A146" t="s">
        <v>16</v>
      </c>
      <c r="B146" t="s">
        <v>46</v>
      </c>
      <c r="C146" t="s">
        <v>25</v>
      </c>
      <c r="D146">
        <v>69.45</v>
      </c>
      <c r="E146">
        <f t="shared" ref="E146:E194" si="3">D146*0.2</f>
        <v>13.89</v>
      </c>
      <c r="F146">
        <f>109.94*0.2</f>
        <v>21.988</v>
      </c>
      <c r="I146">
        <v>80</v>
      </c>
      <c r="L146" t="s">
        <v>58</v>
      </c>
    </row>
    <row r="147" spans="1:12" x14ac:dyDescent="0.35">
      <c r="A147" t="s">
        <v>16</v>
      </c>
      <c r="B147" t="s">
        <v>46</v>
      </c>
      <c r="C147" t="s">
        <v>25</v>
      </c>
      <c r="D147">
        <v>39.090000000000003</v>
      </c>
      <c r="E147">
        <f t="shared" si="3"/>
        <v>7.8180000000000014</v>
      </c>
      <c r="F147">
        <f>24.33*0.2</f>
        <v>4.8659999999999997</v>
      </c>
      <c r="I147">
        <v>80</v>
      </c>
      <c r="L147" t="s">
        <v>58</v>
      </c>
    </row>
    <row r="148" spans="1:12" x14ac:dyDescent="0.35">
      <c r="A148" t="s">
        <v>16</v>
      </c>
      <c r="B148" t="s">
        <v>43</v>
      </c>
      <c r="C148" t="s">
        <v>25</v>
      </c>
      <c r="D148">
        <v>126.28</v>
      </c>
      <c r="E148">
        <f t="shared" si="3"/>
        <v>25.256</v>
      </c>
      <c r="F148">
        <f>103.63*0.2</f>
        <v>20.725999999999999</v>
      </c>
      <c r="I148">
        <v>80</v>
      </c>
      <c r="L148" t="s">
        <v>58</v>
      </c>
    </row>
    <row r="149" spans="1:12" x14ac:dyDescent="0.35">
      <c r="A149" t="s">
        <v>16</v>
      </c>
      <c r="B149" t="s">
        <v>43</v>
      </c>
      <c r="C149" t="s">
        <v>25</v>
      </c>
      <c r="D149">
        <v>32.06</v>
      </c>
      <c r="E149">
        <f t="shared" si="3"/>
        <v>6.4120000000000008</v>
      </c>
      <c r="F149">
        <f>13.8*0.2</f>
        <v>2.7600000000000002</v>
      </c>
      <c r="I149">
        <v>80</v>
      </c>
      <c r="L149" t="s">
        <v>58</v>
      </c>
    </row>
    <row r="150" spans="1:12" x14ac:dyDescent="0.35">
      <c r="A150" t="s">
        <v>16</v>
      </c>
      <c r="B150" t="s">
        <v>43</v>
      </c>
      <c r="C150" t="s">
        <v>25</v>
      </c>
      <c r="D150">
        <v>164.26</v>
      </c>
      <c r="E150">
        <f t="shared" si="3"/>
        <v>32.851999999999997</v>
      </c>
      <c r="F150">
        <f>149.75*0.2</f>
        <v>29.950000000000003</v>
      </c>
      <c r="I150">
        <v>80</v>
      </c>
      <c r="L150" t="s">
        <v>58</v>
      </c>
    </row>
    <row r="151" spans="1:12" x14ac:dyDescent="0.35">
      <c r="A151" t="s">
        <v>16</v>
      </c>
      <c r="B151" t="s">
        <v>43</v>
      </c>
      <c r="C151" t="s">
        <v>25</v>
      </c>
      <c r="D151">
        <v>22.47</v>
      </c>
      <c r="E151">
        <f t="shared" si="3"/>
        <v>4.4939999999999998</v>
      </c>
      <c r="F151">
        <f>11.63*0.2</f>
        <v>2.3260000000000001</v>
      </c>
      <c r="I151">
        <v>80</v>
      </c>
      <c r="L151" t="s">
        <v>58</v>
      </c>
    </row>
    <row r="152" spans="1:12" x14ac:dyDescent="0.35">
      <c r="A152" t="s">
        <v>16</v>
      </c>
      <c r="B152" t="s">
        <v>17</v>
      </c>
      <c r="C152" t="s">
        <v>25</v>
      </c>
      <c r="D152">
        <v>59.74</v>
      </c>
      <c r="E152">
        <f t="shared" si="3"/>
        <v>11.948</v>
      </c>
      <c r="F152">
        <f>45.26*0.2</f>
        <v>9.0519999999999996</v>
      </c>
      <c r="I152">
        <v>80</v>
      </c>
      <c r="L152" t="s">
        <v>58</v>
      </c>
    </row>
    <row r="153" spans="1:12" x14ac:dyDescent="0.35">
      <c r="A153" t="s">
        <v>16</v>
      </c>
      <c r="B153" t="s">
        <v>17</v>
      </c>
      <c r="C153" t="s">
        <v>25</v>
      </c>
      <c r="D153">
        <v>23.37</v>
      </c>
      <c r="E153">
        <f t="shared" si="3"/>
        <v>4.6740000000000004</v>
      </c>
      <c r="F153">
        <f>11.25*0.2</f>
        <v>2.25</v>
      </c>
      <c r="I153">
        <v>80</v>
      </c>
      <c r="L153" t="s">
        <v>58</v>
      </c>
    </row>
    <row r="154" spans="1:12" x14ac:dyDescent="0.35">
      <c r="A154" t="s">
        <v>16</v>
      </c>
      <c r="B154" t="s">
        <v>17</v>
      </c>
      <c r="C154" t="s">
        <v>25</v>
      </c>
      <c r="D154">
        <v>27.98</v>
      </c>
      <c r="E154">
        <f t="shared" si="3"/>
        <v>5.5960000000000001</v>
      </c>
      <c r="F154">
        <f>41.2*0.2</f>
        <v>8.24</v>
      </c>
      <c r="I154">
        <v>80</v>
      </c>
      <c r="L154" t="s">
        <v>58</v>
      </c>
    </row>
    <row r="155" spans="1:12" x14ac:dyDescent="0.35">
      <c r="A155" t="s">
        <v>16</v>
      </c>
      <c r="B155" t="s">
        <v>46</v>
      </c>
      <c r="C155" t="s">
        <v>19</v>
      </c>
      <c r="D155">
        <v>2869.46</v>
      </c>
      <c r="E155">
        <f t="shared" si="3"/>
        <v>573.89200000000005</v>
      </c>
      <c r="F155">
        <f>0.2*3051.88</f>
        <v>610.37600000000009</v>
      </c>
      <c r="I155">
        <v>80</v>
      </c>
      <c r="L155" t="s">
        <v>59</v>
      </c>
    </row>
    <row r="156" spans="1:12" x14ac:dyDescent="0.35">
      <c r="A156" t="s">
        <v>16</v>
      </c>
      <c r="B156" t="s">
        <v>43</v>
      </c>
      <c r="C156" t="s">
        <v>19</v>
      </c>
      <c r="D156">
        <v>4002.21</v>
      </c>
      <c r="E156">
        <f t="shared" si="3"/>
        <v>800.44200000000001</v>
      </c>
      <c r="F156">
        <f>0.2*2744.67</f>
        <v>548.93400000000008</v>
      </c>
      <c r="I156">
        <v>80</v>
      </c>
      <c r="L156" t="s">
        <v>59</v>
      </c>
    </row>
    <row r="157" spans="1:12" x14ac:dyDescent="0.35">
      <c r="A157" t="s">
        <v>16</v>
      </c>
      <c r="B157" t="s">
        <v>17</v>
      </c>
      <c r="C157" t="s">
        <v>19</v>
      </c>
      <c r="D157">
        <v>2040.44</v>
      </c>
      <c r="E157">
        <f t="shared" si="3"/>
        <v>408.08800000000002</v>
      </c>
      <c r="I157">
        <v>80</v>
      </c>
      <c r="L157" t="s">
        <v>59</v>
      </c>
    </row>
    <row r="158" spans="1:12" x14ac:dyDescent="0.35">
      <c r="A158" t="s">
        <v>16</v>
      </c>
      <c r="B158" t="s">
        <v>43</v>
      </c>
      <c r="C158" t="s">
        <v>19</v>
      </c>
      <c r="D158">
        <v>1820.42</v>
      </c>
      <c r="E158">
        <f t="shared" si="3"/>
        <v>364.08400000000006</v>
      </c>
      <c r="F158">
        <f>352.46*0.2</f>
        <v>70.492000000000004</v>
      </c>
      <c r="I158">
        <v>80</v>
      </c>
      <c r="L158" t="s">
        <v>59</v>
      </c>
    </row>
    <row r="159" spans="1:12" x14ac:dyDescent="0.35">
      <c r="A159" t="s">
        <v>16</v>
      </c>
      <c r="B159" t="s">
        <v>17</v>
      </c>
      <c r="C159" t="s">
        <v>19</v>
      </c>
      <c r="D159">
        <v>1405.87</v>
      </c>
      <c r="E159">
        <f t="shared" si="3"/>
        <v>281.17399999999998</v>
      </c>
      <c r="F159">
        <f>822.8*0.2</f>
        <v>164.56</v>
      </c>
      <c r="I159">
        <v>80</v>
      </c>
      <c r="L159" t="s">
        <v>59</v>
      </c>
    </row>
    <row r="160" spans="1:12" x14ac:dyDescent="0.35">
      <c r="A160" t="s">
        <v>16</v>
      </c>
      <c r="B160" t="s">
        <v>46</v>
      </c>
      <c r="C160" t="s">
        <v>23</v>
      </c>
      <c r="D160">
        <v>824.59</v>
      </c>
      <c r="E160">
        <f t="shared" si="3"/>
        <v>164.91800000000001</v>
      </c>
      <c r="F160">
        <f>275.66*0.2</f>
        <v>55.132000000000005</v>
      </c>
      <c r="I160">
        <v>80</v>
      </c>
      <c r="L160" t="s">
        <v>59</v>
      </c>
    </row>
    <row r="161" spans="1:12" x14ac:dyDescent="0.35">
      <c r="A161" t="s">
        <v>16</v>
      </c>
      <c r="B161" t="s">
        <v>43</v>
      </c>
      <c r="C161" t="s">
        <v>23</v>
      </c>
      <c r="D161">
        <v>362.83</v>
      </c>
      <c r="E161">
        <f t="shared" si="3"/>
        <v>72.566000000000003</v>
      </c>
      <c r="F161">
        <f>75.61*0.2</f>
        <v>15.122</v>
      </c>
      <c r="I161">
        <v>80</v>
      </c>
      <c r="L161" t="s">
        <v>59</v>
      </c>
    </row>
    <row r="162" spans="1:12" x14ac:dyDescent="0.35">
      <c r="A162" t="s">
        <v>16</v>
      </c>
      <c r="B162" t="s">
        <v>17</v>
      </c>
      <c r="C162" t="s">
        <v>23</v>
      </c>
      <c r="D162">
        <v>531.94000000000005</v>
      </c>
      <c r="E162">
        <f t="shared" si="3"/>
        <v>106.38800000000002</v>
      </c>
      <c r="I162">
        <v>80</v>
      </c>
      <c r="L162" t="s">
        <v>59</v>
      </c>
    </row>
    <row r="163" spans="1:12" x14ac:dyDescent="0.35">
      <c r="A163" t="s">
        <v>16</v>
      </c>
      <c r="B163" t="s">
        <v>43</v>
      </c>
      <c r="C163" t="s">
        <v>23</v>
      </c>
      <c r="D163">
        <v>669.58</v>
      </c>
      <c r="E163">
        <f t="shared" si="3"/>
        <v>133.91600000000003</v>
      </c>
      <c r="F163">
        <f>224.13*0.2</f>
        <v>44.826000000000001</v>
      </c>
      <c r="I163">
        <v>80</v>
      </c>
      <c r="L163" t="s">
        <v>59</v>
      </c>
    </row>
    <row r="164" spans="1:12" x14ac:dyDescent="0.35">
      <c r="A164" t="s">
        <v>16</v>
      </c>
      <c r="B164" t="s">
        <v>17</v>
      </c>
      <c r="C164" t="s">
        <v>23</v>
      </c>
      <c r="D164">
        <v>625.69000000000005</v>
      </c>
      <c r="E164">
        <f t="shared" si="3"/>
        <v>125.13800000000002</v>
      </c>
      <c r="F164">
        <f>6.36*0.2</f>
        <v>1.2720000000000002</v>
      </c>
      <c r="I164">
        <v>80</v>
      </c>
      <c r="L164" t="s">
        <v>59</v>
      </c>
    </row>
    <row r="165" spans="1:12" x14ac:dyDescent="0.35">
      <c r="A165" t="s">
        <v>16</v>
      </c>
      <c r="B165" t="s">
        <v>46</v>
      </c>
      <c r="C165" t="s">
        <v>18</v>
      </c>
      <c r="D165">
        <v>486.14</v>
      </c>
      <c r="E165">
        <f t="shared" si="3"/>
        <v>97.228000000000009</v>
      </c>
      <c r="F165">
        <f>209.63*0.2</f>
        <v>41.926000000000002</v>
      </c>
      <c r="I165">
        <v>80</v>
      </c>
      <c r="L165" t="s">
        <v>59</v>
      </c>
    </row>
    <row r="166" spans="1:12" x14ac:dyDescent="0.35">
      <c r="A166" t="s">
        <v>16</v>
      </c>
      <c r="B166" t="s">
        <v>43</v>
      </c>
      <c r="C166" t="s">
        <v>18</v>
      </c>
      <c r="D166">
        <v>220.16</v>
      </c>
      <c r="E166">
        <f t="shared" si="3"/>
        <v>44.032000000000004</v>
      </c>
      <c r="F166">
        <f>62.04*0.2</f>
        <v>12.408000000000001</v>
      </c>
      <c r="I166">
        <v>80</v>
      </c>
      <c r="L166" t="s">
        <v>59</v>
      </c>
    </row>
    <row r="167" spans="1:12" x14ac:dyDescent="0.35">
      <c r="A167" t="s">
        <v>16</v>
      </c>
      <c r="B167" t="s">
        <v>17</v>
      </c>
      <c r="C167" t="s">
        <v>18</v>
      </c>
      <c r="D167">
        <v>423.43</v>
      </c>
      <c r="E167">
        <f t="shared" si="3"/>
        <v>84.686000000000007</v>
      </c>
      <c r="I167">
        <v>80</v>
      </c>
      <c r="L167" t="s">
        <v>59</v>
      </c>
    </row>
    <row r="168" spans="1:12" x14ac:dyDescent="0.35">
      <c r="A168" t="s">
        <v>16</v>
      </c>
      <c r="B168" t="s">
        <v>43</v>
      </c>
      <c r="C168" t="s">
        <v>18</v>
      </c>
      <c r="D168">
        <v>480.71</v>
      </c>
      <c r="E168">
        <f t="shared" si="3"/>
        <v>96.141999999999996</v>
      </c>
      <c r="F168">
        <f>112.7*0.2</f>
        <v>22.540000000000003</v>
      </c>
      <c r="I168">
        <v>80</v>
      </c>
      <c r="L168" t="s">
        <v>59</v>
      </c>
    </row>
    <row r="169" spans="1:12" x14ac:dyDescent="0.35">
      <c r="A169" t="s">
        <v>16</v>
      </c>
      <c r="B169" t="s">
        <v>17</v>
      </c>
      <c r="C169" t="s">
        <v>18</v>
      </c>
      <c r="D169">
        <v>595.83000000000004</v>
      </c>
      <c r="E169">
        <f t="shared" si="3"/>
        <v>119.16600000000001</v>
      </c>
      <c r="F169">
        <f>264.46*0.2</f>
        <v>52.891999999999996</v>
      </c>
      <c r="I169">
        <v>80</v>
      </c>
      <c r="L169" t="s">
        <v>59</v>
      </c>
    </row>
    <row r="170" spans="1:12" x14ac:dyDescent="0.35">
      <c r="A170" t="s">
        <v>16</v>
      </c>
      <c r="B170" t="s">
        <v>46</v>
      </c>
      <c r="C170" t="s">
        <v>24</v>
      </c>
      <c r="D170">
        <v>70.03</v>
      </c>
      <c r="E170">
        <f t="shared" si="3"/>
        <v>14.006</v>
      </c>
      <c r="F170">
        <f>39.96*0.2</f>
        <v>7.9920000000000009</v>
      </c>
      <c r="I170">
        <v>80</v>
      </c>
      <c r="L170" t="s">
        <v>59</v>
      </c>
    </row>
    <row r="171" spans="1:12" x14ac:dyDescent="0.35">
      <c r="A171" t="s">
        <v>16</v>
      </c>
      <c r="B171" t="s">
        <v>43</v>
      </c>
      <c r="C171" t="s">
        <v>24</v>
      </c>
      <c r="D171">
        <v>44.08</v>
      </c>
      <c r="E171">
        <f t="shared" si="3"/>
        <v>8.8160000000000007</v>
      </c>
      <c r="F171">
        <f>33.04*0.2</f>
        <v>6.6080000000000005</v>
      </c>
      <c r="I171">
        <v>80</v>
      </c>
      <c r="L171" t="s">
        <v>59</v>
      </c>
    </row>
    <row r="172" spans="1:12" x14ac:dyDescent="0.35">
      <c r="A172" t="s">
        <v>16</v>
      </c>
      <c r="B172" t="s">
        <v>17</v>
      </c>
      <c r="C172" t="s">
        <v>24</v>
      </c>
      <c r="D172">
        <v>44.12</v>
      </c>
      <c r="E172">
        <f t="shared" si="3"/>
        <v>8.8239999999999998</v>
      </c>
      <c r="I172">
        <v>80</v>
      </c>
      <c r="L172" t="s">
        <v>59</v>
      </c>
    </row>
    <row r="173" spans="1:12" x14ac:dyDescent="0.35">
      <c r="A173" t="s">
        <v>16</v>
      </c>
      <c r="B173" t="s">
        <v>43</v>
      </c>
      <c r="C173" t="s">
        <v>24</v>
      </c>
      <c r="D173">
        <v>56.06</v>
      </c>
      <c r="E173">
        <f t="shared" si="3"/>
        <v>11.212000000000002</v>
      </c>
      <c r="F173">
        <f>28.85*0.2</f>
        <v>5.7700000000000005</v>
      </c>
      <c r="I173">
        <v>80</v>
      </c>
      <c r="L173" t="s">
        <v>59</v>
      </c>
    </row>
    <row r="174" spans="1:12" x14ac:dyDescent="0.35">
      <c r="A174" t="s">
        <v>16</v>
      </c>
      <c r="B174" t="s">
        <v>17</v>
      </c>
      <c r="C174" t="s">
        <v>24</v>
      </c>
      <c r="D174">
        <v>12.58</v>
      </c>
      <c r="E174">
        <f t="shared" si="3"/>
        <v>2.516</v>
      </c>
      <c r="I174">
        <v>80</v>
      </c>
      <c r="L174" t="s">
        <v>59</v>
      </c>
    </row>
    <row r="175" spans="1:12" x14ac:dyDescent="0.35">
      <c r="A175" t="s">
        <v>16</v>
      </c>
      <c r="B175" t="s">
        <v>46</v>
      </c>
      <c r="C175" t="s">
        <v>25</v>
      </c>
      <c r="D175">
        <v>16.61</v>
      </c>
      <c r="E175">
        <f t="shared" si="3"/>
        <v>3.3220000000000001</v>
      </c>
      <c r="F175">
        <f>0.05*0.2</f>
        <v>1.0000000000000002E-2</v>
      </c>
      <c r="I175">
        <v>80</v>
      </c>
      <c r="L175" t="s">
        <v>59</v>
      </c>
    </row>
    <row r="176" spans="1:12" x14ac:dyDescent="0.35">
      <c r="A176" t="s">
        <v>16</v>
      </c>
      <c r="B176" t="s">
        <v>43</v>
      </c>
      <c r="C176" t="s">
        <v>25</v>
      </c>
      <c r="D176">
        <v>29.74</v>
      </c>
      <c r="E176">
        <f t="shared" si="3"/>
        <v>5.9480000000000004</v>
      </c>
      <c r="F176">
        <f>29.14*0.2</f>
        <v>5.8280000000000003</v>
      </c>
      <c r="I176">
        <v>80</v>
      </c>
      <c r="L176" t="s">
        <v>59</v>
      </c>
    </row>
    <row r="177" spans="1:12" x14ac:dyDescent="0.35">
      <c r="A177" t="s">
        <v>16</v>
      </c>
      <c r="B177" t="s">
        <v>17</v>
      </c>
      <c r="C177" t="s">
        <v>25</v>
      </c>
      <c r="D177">
        <v>15.28</v>
      </c>
      <c r="E177">
        <f t="shared" si="3"/>
        <v>3.056</v>
      </c>
      <c r="I177">
        <v>80</v>
      </c>
      <c r="L177" t="s">
        <v>59</v>
      </c>
    </row>
    <row r="178" spans="1:12" x14ac:dyDescent="0.35">
      <c r="A178" t="s">
        <v>16</v>
      </c>
      <c r="B178" t="s">
        <v>43</v>
      </c>
      <c r="C178" t="s">
        <v>25</v>
      </c>
      <c r="D178">
        <v>20.22</v>
      </c>
      <c r="E178">
        <f t="shared" si="3"/>
        <v>4.0439999999999996</v>
      </c>
      <c r="F178">
        <f>12.75*0.2</f>
        <v>2.5500000000000003</v>
      </c>
      <c r="I178">
        <v>80</v>
      </c>
      <c r="L178" t="s">
        <v>59</v>
      </c>
    </row>
    <row r="179" spans="1:12" x14ac:dyDescent="0.35">
      <c r="A179" t="s">
        <v>16</v>
      </c>
      <c r="B179" t="s">
        <v>17</v>
      </c>
      <c r="C179" t="s">
        <v>25</v>
      </c>
      <c r="D179">
        <v>4.29</v>
      </c>
      <c r="E179">
        <f t="shared" si="3"/>
        <v>0.8580000000000001</v>
      </c>
      <c r="F179">
        <f>0.47*0.2</f>
        <v>9.4E-2</v>
      </c>
      <c r="I179">
        <v>80</v>
      </c>
      <c r="L179" t="s">
        <v>59</v>
      </c>
    </row>
    <row r="180" spans="1:12" x14ac:dyDescent="0.35">
      <c r="A180" t="s">
        <v>16</v>
      </c>
      <c r="B180" t="s">
        <v>46</v>
      </c>
      <c r="C180" t="s">
        <v>19</v>
      </c>
      <c r="D180">
        <v>854.55</v>
      </c>
      <c r="E180">
        <f t="shared" si="3"/>
        <v>170.91</v>
      </c>
      <c r="F180">
        <f>136.61*0.2</f>
        <v>27.322000000000003</v>
      </c>
      <c r="I180">
        <v>80</v>
      </c>
      <c r="L180" t="s">
        <v>60</v>
      </c>
    </row>
    <row r="181" spans="1:12" x14ac:dyDescent="0.35">
      <c r="A181" t="s">
        <v>16</v>
      </c>
      <c r="B181" t="s">
        <v>17</v>
      </c>
      <c r="C181" t="s">
        <v>19</v>
      </c>
      <c r="D181">
        <v>1364.01</v>
      </c>
      <c r="E181">
        <f t="shared" si="3"/>
        <v>272.80200000000002</v>
      </c>
      <c r="F181">
        <f>0.2*351.09</f>
        <v>70.218000000000004</v>
      </c>
      <c r="I181">
        <v>80</v>
      </c>
      <c r="L181" t="s">
        <v>60</v>
      </c>
    </row>
    <row r="182" spans="1:12" x14ac:dyDescent="0.35">
      <c r="A182" t="s">
        <v>16</v>
      </c>
      <c r="B182" t="s">
        <v>43</v>
      </c>
      <c r="C182" t="s">
        <v>19</v>
      </c>
      <c r="D182">
        <v>2075.44</v>
      </c>
      <c r="E182">
        <f t="shared" si="3"/>
        <v>415.08800000000002</v>
      </c>
      <c r="F182">
        <f>0.2*1745.28</f>
        <v>349.05600000000004</v>
      </c>
      <c r="I182">
        <v>80</v>
      </c>
      <c r="L182" t="s">
        <v>60</v>
      </c>
    </row>
    <row r="183" spans="1:12" x14ac:dyDescent="0.35">
      <c r="A183" t="s">
        <v>16</v>
      </c>
      <c r="B183" t="s">
        <v>46</v>
      </c>
      <c r="C183" t="s">
        <v>23</v>
      </c>
      <c r="D183">
        <v>302.35000000000002</v>
      </c>
      <c r="E183">
        <f t="shared" si="3"/>
        <v>60.470000000000006</v>
      </c>
      <c r="F183">
        <f>0.2*103.68</f>
        <v>20.736000000000004</v>
      </c>
      <c r="I183">
        <v>80</v>
      </c>
      <c r="L183" t="s">
        <v>60</v>
      </c>
    </row>
    <row r="184" spans="1:12" x14ac:dyDescent="0.35">
      <c r="A184" t="s">
        <v>16</v>
      </c>
      <c r="B184" t="s">
        <v>17</v>
      </c>
      <c r="C184" t="s">
        <v>23</v>
      </c>
      <c r="D184">
        <v>327.02999999999997</v>
      </c>
      <c r="E184">
        <f t="shared" si="3"/>
        <v>65.405999999999992</v>
      </c>
      <c r="F184">
        <f>0.2*112.89</f>
        <v>22.578000000000003</v>
      </c>
      <c r="I184">
        <v>80</v>
      </c>
      <c r="L184" t="s">
        <v>60</v>
      </c>
    </row>
    <row r="185" spans="1:12" x14ac:dyDescent="0.35">
      <c r="A185" t="s">
        <v>16</v>
      </c>
      <c r="B185" t="s">
        <v>43</v>
      </c>
      <c r="C185" t="s">
        <v>23</v>
      </c>
      <c r="D185">
        <v>397.49</v>
      </c>
      <c r="E185">
        <f t="shared" si="3"/>
        <v>79.498000000000005</v>
      </c>
      <c r="F185">
        <f>82.35*0.2</f>
        <v>16.47</v>
      </c>
      <c r="I185">
        <v>80</v>
      </c>
      <c r="L185" t="s">
        <v>60</v>
      </c>
    </row>
    <row r="186" spans="1:12" x14ac:dyDescent="0.35">
      <c r="A186" t="s">
        <v>16</v>
      </c>
      <c r="B186" t="s">
        <v>46</v>
      </c>
      <c r="C186" t="s">
        <v>18</v>
      </c>
      <c r="D186">
        <v>180.07</v>
      </c>
      <c r="E186">
        <f t="shared" si="3"/>
        <v>36.014000000000003</v>
      </c>
      <c r="F186">
        <f>0.2*81.65</f>
        <v>16.330000000000002</v>
      </c>
      <c r="I186">
        <v>80</v>
      </c>
      <c r="L186" t="s">
        <v>60</v>
      </c>
    </row>
    <row r="187" spans="1:12" x14ac:dyDescent="0.35">
      <c r="A187" t="s">
        <v>16</v>
      </c>
      <c r="B187" t="s">
        <v>17</v>
      </c>
      <c r="C187" t="s">
        <v>18</v>
      </c>
      <c r="D187">
        <v>154.97</v>
      </c>
      <c r="E187">
        <f t="shared" si="3"/>
        <v>30.994</v>
      </c>
      <c r="F187">
        <f>0.2*66.71</f>
        <v>13.341999999999999</v>
      </c>
      <c r="I187">
        <v>80</v>
      </c>
      <c r="L187" t="s">
        <v>60</v>
      </c>
    </row>
    <row r="188" spans="1:12" x14ac:dyDescent="0.35">
      <c r="A188" t="s">
        <v>16</v>
      </c>
      <c r="B188" t="s">
        <v>43</v>
      </c>
      <c r="C188" t="s">
        <v>18</v>
      </c>
      <c r="D188">
        <v>328.59</v>
      </c>
      <c r="E188">
        <f t="shared" si="3"/>
        <v>65.718000000000004</v>
      </c>
      <c r="F188">
        <f>0.2*102.73</f>
        <v>20.546000000000003</v>
      </c>
      <c r="I188">
        <v>80</v>
      </c>
      <c r="L188" t="s">
        <v>60</v>
      </c>
    </row>
    <row r="189" spans="1:12" x14ac:dyDescent="0.35">
      <c r="A189" t="s">
        <v>16</v>
      </c>
      <c r="B189" t="s">
        <v>46</v>
      </c>
      <c r="C189" t="s">
        <v>24</v>
      </c>
      <c r="D189">
        <v>154.13</v>
      </c>
      <c r="E189">
        <f t="shared" si="3"/>
        <v>30.826000000000001</v>
      </c>
      <c r="I189">
        <v>80</v>
      </c>
      <c r="L189" t="s">
        <v>60</v>
      </c>
    </row>
    <row r="190" spans="1:12" x14ac:dyDescent="0.35">
      <c r="A190" t="s">
        <v>16</v>
      </c>
      <c r="B190" t="s">
        <v>17</v>
      </c>
      <c r="C190" t="s">
        <v>24</v>
      </c>
      <c r="D190">
        <v>78.67</v>
      </c>
      <c r="E190">
        <f t="shared" si="3"/>
        <v>15.734000000000002</v>
      </c>
      <c r="F190">
        <f>0.2*33.16</f>
        <v>6.6319999999999997</v>
      </c>
      <c r="I190">
        <v>80</v>
      </c>
      <c r="L190" t="s">
        <v>60</v>
      </c>
    </row>
    <row r="191" spans="1:12" x14ac:dyDescent="0.35">
      <c r="A191" t="s">
        <v>16</v>
      </c>
      <c r="B191" t="s">
        <v>43</v>
      </c>
      <c r="C191" t="s">
        <v>24</v>
      </c>
      <c r="D191">
        <v>117.49</v>
      </c>
      <c r="E191">
        <f t="shared" si="3"/>
        <v>23.498000000000001</v>
      </c>
      <c r="F191">
        <f>0.2*40.1</f>
        <v>8.0200000000000014</v>
      </c>
      <c r="H191" s="3"/>
      <c r="I191">
        <v>80</v>
      </c>
      <c r="L191" t="s">
        <v>60</v>
      </c>
    </row>
    <row r="192" spans="1:12" x14ac:dyDescent="0.35">
      <c r="A192" t="s">
        <v>16</v>
      </c>
      <c r="B192" t="s">
        <v>46</v>
      </c>
      <c r="C192" t="s">
        <v>25</v>
      </c>
      <c r="D192">
        <v>42.85</v>
      </c>
      <c r="E192">
        <f t="shared" si="3"/>
        <v>8.57</v>
      </c>
      <c r="F192">
        <f>0.2*37.05</f>
        <v>7.41</v>
      </c>
      <c r="I192">
        <v>80</v>
      </c>
      <c r="L192" t="s">
        <v>60</v>
      </c>
    </row>
    <row r="193" spans="1:12" x14ac:dyDescent="0.35">
      <c r="A193" t="s">
        <v>16</v>
      </c>
      <c r="B193" t="s">
        <v>17</v>
      </c>
      <c r="C193" t="s">
        <v>25</v>
      </c>
      <c r="D193">
        <v>79.8</v>
      </c>
      <c r="E193">
        <f t="shared" si="3"/>
        <v>15.96</v>
      </c>
      <c r="F193">
        <f>0.2*62.22</f>
        <v>12.444000000000001</v>
      </c>
      <c r="I193">
        <v>80</v>
      </c>
      <c r="L193" t="s">
        <v>60</v>
      </c>
    </row>
    <row r="194" spans="1:12" x14ac:dyDescent="0.35">
      <c r="A194" t="s">
        <v>16</v>
      </c>
      <c r="B194" t="s">
        <v>43</v>
      </c>
      <c r="C194" t="s">
        <v>25</v>
      </c>
      <c r="D194">
        <v>173.86</v>
      </c>
      <c r="E194">
        <f t="shared" si="3"/>
        <v>34.772000000000006</v>
      </c>
      <c r="F194">
        <f>0.2*173.09</f>
        <v>34.618000000000002</v>
      </c>
      <c r="I194">
        <v>80</v>
      </c>
      <c r="L194" t="s">
        <v>60</v>
      </c>
    </row>
    <row r="195" spans="1:12" x14ac:dyDescent="0.35">
      <c r="A195" t="s">
        <v>37</v>
      </c>
      <c r="B195" t="s">
        <v>47</v>
      </c>
      <c r="C195" t="s">
        <v>18</v>
      </c>
      <c r="E195">
        <v>118</v>
      </c>
      <c r="F195">
        <v>35</v>
      </c>
      <c r="G195">
        <v>44</v>
      </c>
      <c r="H195">
        <v>191</v>
      </c>
      <c r="L195" t="s">
        <v>61</v>
      </c>
    </row>
    <row r="196" spans="1:12" x14ac:dyDescent="0.35">
      <c r="A196" t="s">
        <v>37</v>
      </c>
      <c r="B196" t="s">
        <v>47</v>
      </c>
      <c r="C196" t="s">
        <v>19</v>
      </c>
      <c r="E196">
        <v>376</v>
      </c>
      <c r="F196">
        <v>254</v>
      </c>
      <c r="G196">
        <v>141</v>
      </c>
      <c r="H196">
        <v>1230</v>
      </c>
      <c r="L196" t="s">
        <v>61</v>
      </c>
    </row>
    <row r="197" spans="1:12" x14ac:dyDescent="0.35">
      <c r="A197" t="s">
        <v>37</v>
      </c>
      <c r="B197" t="s">
        <v>47</v>
      </c>
      <c r="C197" t="s">
        <v>23</v>
      </c>
      <c r="E197">
        <v>74.7</v>
      </c>
      <c r="F197">
        <v>23</v>
      </c>
      <c r="G197">
        <v>37.200000000000003</v>
      </c>
      <c r="H197">
        <v>152</v>
      </c>
      <c r="L197" t="s">
        <v>61</v>
      </c>
    </row>
    <row r="198" spans="1:12" x14ac:dyDescent="0.35">
      <c r="A198" t="s">
        <v>37</v>
      </c>
      <c r="B198" t="s">
        <v>47</v>
      </c>
      <c r="C198" t="s">
        <v>18</v>
      </c>
      <c r="E198">
        <v>108</v>
      </c>
      <c r="F198">
        <v>51</v>
      </c>
      <c r="G198">
        <v>33.200000000000003</v>
      </c>
      <c r="H198">
        <v>182</v>
      </c>
      <c r="L198" t="s">
        <v>61</v>
      </c>
    </row>
    <row r="199" spans="1:12" x14ac:dyDescent="0.35">
      <c r="A199" t="s">
        <v>37</v>
      </c>
      <c r="B199" t="s">
        <v>47</v>
      </c>
      <c r="C199" t="s">
        <v>19</v>
      </c>
      <c r="E199">
        <v>351</v>
      </c>
      <c r="F199">
        <v>187</v>
      </c>
      <c r="G199">
        <v>172</v>
      </c>
      <c r="H199">
        <v>781</v>
      </c>
      <c r="L199" t="s">
        <v>61</v>
      </c>
    </row>
    <row r="200" spans="1:12" x14ac:dyDescent="0.35">
      <c r="A200" t="s">
        <v>37</v>
      </c>
      <c r="B200" t="s">
        <v>47</v>
      </c>
      <c r="C200" t="s">
        <v>23</v>
      </c>
      <c r="E200">
        <v>97.6</v>
      </c>
      <c r="F200">
        <v>40.799999999999997</v>
      </c>
      <c r="G200">
        <v>61.7</v>
      </c>
      <c r="H200">
        <v>514</v>
      </c>
      <c r="L200" t="s">
        <v>61</v>
      </c>
    </row>
    <row r="201" spans="1:12" x14ac:dyDescent="0.35">
      <c r="A201" t="s">
        <v>37</v>
      </c>
      <c r="B201" t="s">
        <v>48</v>
      </c>
      <c r="D201">
        <v>1800</v>
      </c>
      <c r="E201">
        <f>D201*0.2</f>
        <v>360</v>
      </c>
      <c r="G201">
        <f>1100*0.2</f>
        <v>220</v>
      </c>
      <c r="H201">
        <f>2800*0.2</f>
        <v>560</v>
      </c>
      <c r="L201" t="s">
        <v>62</v>
      </c>
    </row>
    <row r="202" spans="1:12" x14ac:dyDescent="0.35">
      <c r="A202" t="s">
        <v>37</v>
      </c>
      <c r="B202" t="s">
        <v>49</v>
      </c>
      <c r="C202" t="s">
        <v>19</v>
      </c>
      <c r="E202">
        <v>4000</v>
      </c>
      <c r="F202">
        <v>1000</v>
      </c>
      <c r="G202">
        <v>3530</v>
      </c>
      <c r="H202">
        <v>5110</v>
      </c>
      <c r="L202" t="s">
        <v>63</v>
      </c>
    </row>
    <row r="203" spans="1:12" x14ac:dyDescent="0.35">
      <c r="A203" t="s">
        <v>37</v>
      </c>
      <c r="B203" t="s">
        <v>49</v>
      </c>
      <c r="C203" t="s">
        <v>19</v>
      </c>
      <c r="E203">
        <v>900</v>
      </c>
      <c r="F203">
        <v>100</v>
      </c>
      <c r="G203">
        <v>730</v>
      </c>
      <c r="H203">
        <v>1110</v>
      </c>
      <c r="L203" t="s">
        <v>63</v>
      </c>
    </row>
    <row r="204" spans="1:12" x14ac:dyDescent="0.35">
      <c r="A204" t="s">
        <v>37</v>
      </c>
      <c r="B204" t="s">
        <v>49</v>
      </c>
      <c r="C204" t="s">
        <v>19</v>
      </c>
      <c r="E204">
        <v>900</v>
      </c>
      <c r="F204">
        <v>600</v>
      </c>
      <c r="G204">
        <v>120</v>
      </c>
      <c r="H204">
        <v>1980</v>
      </c>
      <c r="L204" t="s">
        <v>63</v>
      </c>
    </row>
    <row r="205" spans="1:12" x14ac:dyDescent="0.35">
      <c r="A205" t="s">
        <v>37</v>
      </c>
      <c r="B205" t="s">
        <v>50</v>
      </c>
      <c r="C205" t="s">
        <v>19</v>
      </c>
      <c r="E205">
        <v>1100</v>
      </c>
      <c r="G205">
        <v>1030</v>
      </c>
      <c r="H205">
        <v>1160</v>
      </c>
      <c r="L205" t="s">
        <v>63</v>
      </c>
    </row>
    <row r="206" spans="1:12" x14ac:dyDescent="0.35">
      <c r="A206" t="s">
        <v>37</v>
      </c>
      <c r="B206" t="s">
        <v>50</v>
      </c>
      <c r="C206" t="s">
        <v>19</v>
      </c>
      <c r="E206">
        <v>700</v>
      </c>
      <c r="F206">
        <v>300</v>
      </c>
      <c r="G206">
        <v>225</v>
      </c>
      <c r="H206">
        <v>1060</v>
      </c>
      <c r="L206" t="s">
        <v>63</v>
      </c>
    </row>
    <row r="207" spans="1:12" x14ac:dyDescent="0.35">
      <c r="A207" t="s">
        <v>37</v>
      </c>
      <c r="B207" t="s">
        <v>50</v>
      </c>
      <c r="C207" t="s">
        <v>19</v>
      </c>
      <c r="E207">
        <v>1000</v>
      </c>
      <c r="F207">
        <v>500</v>
      </c>
      <c r="G207">
        <v>470</v>
      </c>
      <c r="H207">
        <v>2280</v>
      </c>
      <c r="L207" t="s">
        <v>63</v>
      </c>
    </row>
    <row r="208" spans="1:12" x14ac:dyDescent="0.35">
      <c r="A208" t="s">
        <v>37</v>
      </c>
      <c r="B208" t="s">
        <v>49</v>
      </c>
      <c r="C208" t="s">
        <v>23</v>
      </c>
      <c r="E208">
        <v>100</v>
      </c>
      <c r="F208">
        <v>20</v>
      </c>
      <c r="G208">
        <v>66.7</v>
      </c>
      <c r="H208">
        <v>134</v>
      </c>
      <c r="L208" t="s">
        <v>63</v>
      </c>
    </row>
    <row r="209" spans="1:12" x14ac:dyDescent="0.35">
      <c r="A209" t="s">
        <v>37</v>
      </c>
      <c r="B209" t="s">
        <v>49</v>
      </c>
      <c r="C209" t="s">
        <v>23</v>
      </c>
      <c r="E209">
        <v>180</v>
      </c>
      <c r="F209">
        <v>30</v>
      </c>
      <c r="G209">
        <v>121</v>
      </c>
      <c r="H209">
        <v>215</v>
      </c>
      <c r="L209" t="s">
        <v>63</v>
      </c>
    </row>
    <row r="210" spans="1:12" x14ac:dyDescent="0.35">
      <c r="A210" t="s">
        <v>37</v>
      </c>
      <c r="B210" t="s">
        <v>49</v>
      </c>
      <c r="C210" t="s">
        <v>23</v>
      </c>
      <c r="E210">
        <v>130</v>
      </c>
      <c r="F210">
        <v>40</v>
      </c>
      <c r="G210">
        <v>83</v>
      </c>
      <c r="H210">
        <v>220</v>
      </c>
      <c r="L210" t="s">
        <v>63</v>
      </c>
    </row>
    <row r="211" spans="1:12" x14ac:dyDescent="0.35">
      <c r="A211" t="s">
        <v>37</v>
      </c>
      <c r="B211" t="s">
        <v>50</v>
      </c>
      <c r="C211" t="s">
        <v>23</v>
      </c>
      <c r="E211">
        <v>80</v>
      </c>
      <c r="G211">
        <v>89</v>
      </c>
      <c r="H211">
        <v>66</v>
      </c>
      <c r="L211" t="s">
        <v>63</v>
      </c>
    </row>
    <row r="212" spans="1:12" x14ac:dyDescent="0.35">
      <c r="A212" t="s">
        <v>37</v>
      </c>
      <c r="B212" t="s">
        <v>50</v>
      </c>
      <c r="C212" t="s">
        <v>23</v>
      </c>
      <c r="E212">
        <v>190</v>
      </c>
      <c r="F212">
        <v>80</v>
      </c>
      <c r="G212">
        <v>108</v>
      </c>
      <c r="H212">
        <v>312</v>
      </c>
      <c r="L212" t="s">
        <v>63</v>
      </c>
    </row>
    <row r="213" spans="1:12" x14ac:dyDescent="0.35">
      <c r="A213" t="s">
        <v>37</v>
      </c>
      <c r="B213" t="s">
        <v>50</v>
      </c>
      <c r="C213" t="s">
        <v>23</v>
      </c>
      <c r="E213">
        <v>120</v>
      </c>
      <c r="F213">
        <v>30</v>
      </c>
      <c r="G213">
        <v>87.1</v>
      </c>
      <c r="H213">
        <v>177</v>
      </c>
      <c r="L213" t="s">
        <v>63</v>
      </c>
    </row>
    <row r="214" spans="1:12" x14ac:dyDescent="0.35">
      <c r="A214" t="s">
        <v>37</v>
      </c>
      <c r="B214" t="s">
        <v>49</v>
      </c>
      <c r="C214" t="s">
        <v>18</v>
      </c>
      <c r="E214">
        <v>170</v>
      </c>
      <c r="F214">
        <v>20</v>
      </c>
      <c r="G214">
        <v>139</v>
      </c>
      <c r="H214">
        <v>180</v>
      </c>
      <c r="L214" t="s">
        <v>63</v>
      </c>
    </row>
    <row r="215" spans="1:12" x14ac:dyDescent="0.35">
      <c r="A215" t="s">
        <v>37</v>
      </c>
      <c r="B215" t="s">
        <v>49</v>
      </c>
      <c r="C215" t="s">
        <v>18</v>
      </c>
      <c r="E215">
        <v>240</v>
      </c>
      <c r="F215">
        <v>60</v>
      </c>
      <c r="G215">
        <v>189</v>
      </c>
      <c r="H215">
        <v>339</v>
      </c>
      <c r="L215" t="s">
        <v>63</v>
      </c>
    </row>
    <row r="216" spans="1:12" x14ac:dyDescent="0.35">
      <c r="A216" t="s">
        <v>37</v>
      </c>
      <c r="B216" t="s">
        <v>49</v>
      </c>
      <c r="C216" t="s">
        <v>18</v>
      </c>
      <c r="E216">
        <v>260</v>
      </c>
      <c r="F216">
        <v>50</v>
      </c>
      <c r="G216">
        <v>207</v>
      </c>
      <c r="H216">
        <v>397</v>
      </c>
      <c r="L216" t="s">
        <v>63</v>
      </c>
    </row>
    <row r="217" spans="1:12" x14ac:dyDescent="0.35">
      <c r="A217" t="s">
        <v>37</v>
      </c>
      <c r="B217" t="s">
        <v>50</v>
      </c>
      <c r="C217" t="s">
        <v>18</v>
      </c>
      <c r="E217">
        <v>138</v>
      </c>
      <c r="G217">
        <v>113</v>
      </c>
      <c r="H217">
        <v>163</v>
      </c>
      <c r="L217" t="s">
        <v>63</v>
      </c>
    </row>
    <row r="218" spans="1:12" x14ac:dyDescent="0.35">
      <c r="A218" t="s">
        <v>37</v>
      </c>
      <c r="B218" t="s">
        <v>50</v>
      </c>
      <c r="C218" t="s">
        <v>18</v>
      </c>
      <c r="E218">
        <v>200</v>
      </c>
      <c r="F218">
        <v>100</v>
      </c>
      <c r="G218">
        <v>95</v>
      </c>
      <c r="H218">
        <v>432</v>
      </c>
      <c r="L218" t="s">
        <v>63</v>
      </c>
    </row>
    <row r="219" spans="1:12" x14ac:dyDescent="0.35">
      <c r="A219" t="s">
        <v>37</v>
      </c>
      <c r="B219" t="s">
        <v>50</v>
      </c>
      <c r="C219" t="s">
        <v>18</v>
      </c>
      <c r="E219">
        <v>260</v>
      </c>
      <c r="F219">
        <v>50</v>
      </c>
      <c r="G219">
        <v>191</v>
      </c>
      <c r="H219">
        <v>346</v>
      </c>
      <c r="L219" t="s">
        <v>63</v>
      </c>
    </row>
    <row r="220" spans="1:12" x14ac:dyDescent="0.35">
      <c r="A220" t="s">
        <v>73</v>
      </c>
      <c r="B220" t="s">
        <v>74</v>
      </c>
      <c r="D220">
        <v>81</v>
      </c>
      <c r="E220">
        <f>D220*0.2</f>
        <v>16.2</v>
      </c>
      <c r="F220">
        <f>0.2*12</f>
        <v>2.4000000000000004</v>
      </c>
      <c r="I220">
        <v>80</v>
      </c>
      <c r="L220" t="s">
        <v>79</v>
      </c>
    </row>
    <row r="221" spans="1:12" x14ac:dyDescent="0.35">
      <c r="A221" t="s">
        <v>73</v>
      </c>
      <c r="B221" t="s">
        <v>75</v>
      </c>
      <c r="D221">
        <v>258</v>
      </c>
      <c r="E221">
        <f t="shared" ref="E221:E223" si="4">D221*0.2</f>
        <v>51.6</v>
      </c>
      <c r="F221">
        <f>0.2*258</f>
        <v>51.6</v>
      </c>
      <c r="I221">
        <v>80</v>
      </c>
      <c r="L221" t="s">
        <v>78</v>
      </c>
    </row>
    <row r="222" spans="1:12" x14ac:dyDescent="0.35">
      <c r="A222" t="s">
        <v>73</v>
      </c>
      <c r="B222" t="s">
        <v>76</v>
      </c>
      <c r="D222">
        <v>140</v>
      </c>
      <c r="E222">
        <f t="shared" si="4"/>
        <v>28</v>
      </c>
      <c r="F222">
        <f>0.2*140</f>
        <v>28</v>
      </c>
      <c r="I222">
        <v>80</v>
      </c>
      <c r="L222" t="s">
        <v>80</v>
      </c>
    </row>
    <row r="223" spans="1:12" x14ac:dyDescent="0.35">
      <c r="A223" t="s">
        <v>73</v>
      </c>
      <c r="B223" t="s">
        <v>77</v>
      </c>
      <c r="D223">
        <v>43</v>
      </c>
      <c r="E223">
        <f t="shared" si="4"/>
        <v>8.6</v>
      </c>
      <c r="F223">
        <f>43*0.2</f>
        <v>8.6</v>
      </c>
      <c r="I223">
        <v>80</v>
      </c>
      <c r="L223" t="s">
        <v>79</v>
      </c>
    </row>
    <row r="224" spans="1:12" x14ac:dyDescent="0.35">
      <c r="A224" t="s">
        <v>73</v>
      </c>
      <c r="B224" t="s">
        <v>76</v>
      </c>
      <c r="E224">
        <v>4.2</v>
      </c>
      <c r="F224">
        <v>1.7</v>
      </c>
      <c r="G224">
        <v>1.9</v>
      </c>
      <c r="H224">
        <v>6.8</v>
      </c>
      <c r="L224" t="s">
        <v>82</v>
      </c>
    </row>
    <row r="225" spans="1:12" x14ac:dyDescent="0.35">
      <c r="A225" t="s">
        <v>73</v>
      </c>
      <c r="B225" t="s">
        <v>81</v>
      </c>
      <c r="E225">
        <v>1.7</v>
      </c>
      <c r="F225">
        <v>1.2</v>
      </c>
      <c r="G225">
        <v>0.7</v>
      </c>
      <c r="H225">
        <v>4.7</v>
      </c>
      <c r="L225" t="s">
        <v>82</v>
      </c>
    </row>
    <row r="226" spans="1:12" x14ac:dyDescent="0.35">
      <c r="A226" t="s">
        <v>73</v>
      </c>
      <c r="B226" t="s">
        <v>77</v>
      </c>
      <c r="E226">
        <v>1.4</v>
      </c>
      <c r="F226">
        <v>0.7</v>
      </c>
      <c r="G226">
        <v>0.6</v>
      </c>
      <c r="H226">
        <v>2.5</v>
      </c>
      <c r="L226" t="s">
        <v>82</v>
      </c>
    </row>
  </sheetData>
  <autoFilter ref="A1:K219" xr:uid="{2B4B77F4-DCEB-41F3-86F1-19B7C1766BF4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Feuil2</vt:lpstr>
    </vt:vector>
  </TitlesOfParts>
  <Company>La Rochelle Université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lgilbe01</dc:creator>
  <cp:lastModifiedBy>lgilbe01</cp:lastModifiedBy>
  <dcterms:created xsi:type="dcterms:W3CDTF">2022-02-14T08:14:15Z</dcterms:created>
  <dcterms:modified xsi:type="dcterms:W3CDTF">2022-09-02T15:59:59Z</dcterms:modified>
</cp:coreProperties>
</file>