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ilbe01\Desktop\PhD_2020-2023\Analyses\04.Pinnipeds_SouthernO\data\"/>
    </mc:Choice>
  </mc:AlternateContent>
  <xr:revisionPtr revIDLastSave="0" documentId="13_ncr:1_{0516EF9E-5F52-4983-8979-21BC08ADBA21}" xr6:coauthVersionLast="36" xr6:coauthVersionMax="36" xr10:uidLastSave="{00000000-0000-0000-0000-000000000000}"/>
  <bookViews>
    <workbookView xWindow="0" yWindow="0" windowWidth="19200" windowHeight="8150" xr2:uid="{B1A347AD-4986-41BD-9500-4E54C6029C2E}"/>
  </bookViews>
  <sheets>
    <sheet name="Feuil2" sheetId="2" r:id="rId1"/>
  </sheets>
  <definedNames>
    <definedName name="_xlnm._FilterDatabase" localSheetId="0" hidden="1">Feuil2!$A$1:$N$221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3" i="2" l="1"/>
  <c r="J203" i="2"/>
  <c r="H203" i="2"/>
  <c r="I196" i="2" l="1"/>
  <c r="H196" i="2"/>
  <c r="I195" i="2"/>
  <c r="H195" i="2"/>
  <c r="I194" i="2"/>
  <c r="H194" i="2"/>
  <c r="I193" i="2"/>
  <c r="H193" i="2"/>
  <c r="I192" i="2"/>
  <c r="H192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I181" i="2"/>
  <c r="I180" i="2"/>
  <c r="I178" i="2"/>
  <c r="I177" i="2"/>
  <c r="I175" i="2"/>
  <c r="I173" i="2"/>
  <c r="I172" i="2"/>
  <c r="I171" i="2"/>
  <c r="I170" i="2"/>
  <c r="I161" i="2"/>
  <c r="I162" i="2"/>
  <c r="I163" i="2"/>
  <c r="I165" i="2"/>
  <c r="I166" i="2"/>
  <c r="I167" i="2"/>
  <c r="I168" i="2"/>
  <c r="I160" i="2"/>
  <c r="I158" i="2"/>
  <c r="I157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48" i="2"/>
  <c r="H149" i="2"/>
  <c r="H150" i="2"/>
  <c r="H151" i="2"/>
  <c r="H152" i="2"/>
  <c r="H153" i="2"/>
  <c r="H154" i="2"/>
  <c r="H155" i="2"/>
  <c r="H156" i="2"/>
  <c r="I156" i="2"/>
  <c r="I155" i="2"/>
  <c r="I154" i="2"/>
  <c r="I153" i="2"/>
  <c r="I152" i="2"/>
  <c r="I151" i="2"/>
  <c r="I150" i="2"/>
  <c r="I149" i="2"/>
  <c r="I148" i="2"/>
  <c r="I147" i="2"/>
  <c r="H147" i="2"/>
  <c r="I146" i="2"/>
  <c r="H146" i="2"/>
  <c r="K133" i="2"/>
  <c r="J133" i="2"/>
  <c r="I133" i="2"/>
  <c r="H133" i="2"/>
  <c r="K132" i="2"/>
  <c r="J132" i="2"/>
  <c r="I132" i="2"/>
  <c r="H132" i="2"/>
  <c r="K131" i="2"/>
  <c r="J131" i="2"/>
  <c r="I131" i="2"/>
  <c r="H131" i="2"/>
  <c r="K130" i="2"/>
  <c r="J130" i="2"/>
  <c r="I130" i="2"/>
  <c r="H130" i="2"/>
  <c r="K129" i="2"/>
  <c r="J129" i="2"/>
  <c r="I129" i="2"/>
  <c r="H129" i="2"/>
  <c r="K128" i="2"/>
  <c r="J128" i="2"/>
  <c r="I128" i="2"/>
  <c r="H128" i="2"/>
  <c r="K127" i="2"/>
  <c r="J127" i="2"/>
  <c r="I127" i="2"/>
  <c r="H127" i="2"/>
  <c r="K126" i="2"/>
  <c r="J126" i="2"/>
  <c r="I126" i="2"/>
  <c r="H126" i="2"/>
  <c r="K125" i="2"/>
  <c r="J125" i="2"/>
  <c r="I125" i="2"/>
  <c r="H125" i="2"/>
  <c r="K124" i="2"/>
  <c r="J124" i="2"/>
  <c r="I124" i="2"/>
  <c r="G124" i="2"/>
  <c r="H124" i="2" s="1"/>
  <c r="K123" i="2"/>
  <c r="J123" i="2"/>
  <c r="I123" i="2"/>
  <c r="G123" i="2"/>
  <c r="H123" i="2" s="1"/>
  <c r="K122" i="2"/>
  <c r="J122" i="2"/>
  <c r="I122" i="2"/>
  <c r="H122" i="2"/>
  <c r="K121" i="2"/>
  <c r="J121" i="2"/>
  <c r="I121" i="2"/>
  <c r="H121" i="2"/>
  <c r="K120" i="2"/>
  <c r="J120" i="2"/>
  <c r="I120" i="2"/>
  <c r="H120" i="2"/>
  <c r="K119" i="2"/>
  <c r="J119" i="2"/>
  <c r="I119" i="2"/>
  <c r="H119" i="2"/>
  <c r="I34" i="2"/>
  <c r="I31" i="2"/>
  <c r="I30" i="2"/>
  <c r="I29" i="2"/>
  <c r="I21" i="2"/>
  <c r="I22" i="2"/>
  <c r="K17" i="2"/>
  <c r="J17" i="2"/>
  <c r="K16" i="2"/>
  <c r="J1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2" i="2"/>
  <c r="H21" i="2" l="1"/>
  <c r="H22" i="2"/>
  <c r="H23" i="2"/>
  <c r="H24" i="2"/>
  <c r="H25" i="2"/>
  <c r="H26" i="2"/>
  <c r="H27" i="2"/>
  <c r="H28" i="2"/>
  <c r="H29" i="2"/>
  <c r="H33" i="2"/>
  <c r="H34" i="2"/>
  <c r="H35" i="2"/>
  <c r="H36" i="2"/>
  <c r="H37" i="2"/>
  <c r="H38" i="2"/>
  <c r="H39" i="2"/>
  <c r="N40" i="2"/>
  <c r="G32" i="2"/>
  <c r="H32" i="2" s="1"/>
  <c r="G31" i="2"/>
  <c r="H31" i="2" s="1"/>
  <c r="G30" i="2"/>
  <c r="H30" i="2" s="1"/>
</calcChain>
</file>

<file path=xl/sharedStrings.xml><?xml version="1.0" encoding="utf-8"?>
<sst xmlns="http://schemas.openxmlformats.org/spreadsheetml/2006/main" count="874" uniqueCount="77">
  <si>
    <t>Species</t>
  </si>
  <si>
    <t>Locarnini &amp; Presley 1995</t>
  </si>
  <si>
    <t>Euphausia superba</t>
  </si>
  <si>
    <t>Yamamoto et al 1987 from Locarnini &amp; Presley 1995</t>
  </si>
  <si>
    <t>Yamamoto et al 1990 from Locarnini &amp; Presley 1995</t>
  </si>
  <si>
    <t>Caroli et al 1998</t>
  </si>
  <si>
    <t>Nicol et al 2010</t>
  </si>
  <si>
    <t>Pseudeuphausia latifrons</t>
  </si>
  <si>
    <t>Nyctiphanes australis</t>
  </si>
  <si>
    <t>Euphausia pacifica</t>
  </si>
  <si>
    <t>Euphausia similis</t>
  </si>
  <si>
    <t>Euphausia krohnii</t>
  </si>
  <si>
    <t>Meganyctiphanes norvegica</t>
  </si>
  <si>
    <t>Kim et al 2014</t>
  </si>
  <si>
    <t>Ruck et al 2014</t>
  </si>
  <si>
    <t>Martensson et al 1996</t>
  </si>
  <si>
    <t>Thysanoessa sp</t>
  </si>
  <si>
    <t>Clarke 1980 from Armstrong et al 1991</t>
  </si>
  <si>
    <t>Barbante et al 2000</t>
  </si>
  <si>
    <t>Taxa</t>
  </si>
  <si>
    <t>Fe_source</t>
  </si>
  <si>
    <t>H2O_source</t>
  </si>
  <si>
    <t>nrj_source</t>
  </si>
  <si>
    <t>H2O</t>
  </si>
  <si>
    <t>Krill</t>
  </si>
  <si>
    <t>Kiorboe 2013</t>
  </si>
  <si>
    <t>Fe_dw_mg_kg</t>
  </si>
  <si>
    <t>nrj_dw_KJ_g</t>
  </si>
  <si>
    <t>nrh_ww_KJ_g</t>
  </si>
  <si>
    <t>Other zooplankton</t>
  </si>
  <si>
    <t>Tissue</t>
  </si>
  <si>
    <t>Penguins</t>
  </si>
  <si>
    <t>Pygoscelis adeliae</t>
  </si>
  <si>
    <t>Honda et al 1986</t>
  </si>
  <si>
    <t>Muscle</t>
  </si>
  <si>
    <t>Liver</t>
  </si>
  <si>
    <t>Pancreas</t>
  </si>
  <si>
    <t>Spleen</t>
  </si>
  <si>
    <t>Blood</t>
  </si>
  <si>
    <t>Kidney</t>
  </si>
  <si>
    <t>Bone</t>
  </si>
  <si>
    <t>Feather</t>
  </si>
  <si>
    <t>Brain</t>
  </si>
  <si>
    <t>Heart</t>
  </si>
  <si>
    <t>Lung</t>
  </si>
  <si>
    <t>Testis</t>
  </si>
  <si>
    <t>Fe_mean_ww_mg_kg</t>
  </si>
  <si>
    <t>Fe_CV_ww_mg_kg</t>
  </si>
  <si>
    <t>Fe_min_ww_mg_kg</t>
  </si>
  <si>
    <t>Fe_max_ww_mg_kg</t>
  </si>
  <si>
    <t>Subcutaneous fat</t>
  </si>
  <si>
    <t>Skin</t>
  </si>
  <si>
    <t>Whole</t>
  </si>
  <si>
    <t>Yamamoto et al 1987</t>
  </si>
  <si>
    <t>Seal</t>
  </si>
  <si>
    <t>Leptonychotes weddellii</t>
  </si>
  <si>
    <t>Stomach</t>
  </si>
  <si>
    <t>Intestine</t>
  </si>
  <si>
    <t>Hair</t>
  </si>
  <si>
    <t>Blubber</t>
  </si>
  <si>
    <t>Szefer et al 1993</t>
  </si>
  <si>
    <t>Pygoscelis antarctica</t>
  </si>
  <si>
    <t>Lobodon carcinophagus</t>
  </si>
  <si>
    <t>Szefer et al 1994</t>
  </si>
  <si>
    <t>Hydrurga leptonyx</t>
  </si>
  <si>
    <t>Yamamoto et al 1996</t>
  </si>
  <si>
    <t>Pygoscelis papua</t>
  </si>
  <si>
    <t>Jerez et al 2011</t>
  </si>
  <si>
    <t>Jerez et al 2013a</t>
  </si>
  <si>
    <t>Jerez et al 2013b</t>
  </si>
  <si>
    <t>Noda et al 1995</t>
  </si>
  <si>
    <t>Callorhinus ursinus</t>
  </si>
  <si>
    <t>Eumetopias jubatus</t>
  </si>
  <si>
    <t>Sydeman &amp; Jarman 1998</t>
  </si>
  <si>
    <t>Pagophilus groenlandicus</t>
  </si>
  <si>
    <t>Cystophora cristata</t>
  </si>
  <si>
    <t>Julshamn &amp; Grahl-Nielsen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</si>
</sst>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2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1817D-DC41-417E-B597-CEE4D85C7D4A}">
  <sheetPr filterMode="1"/>
  <dimension ref="A1:N221"/>
  <sheetViews>
    <sheetView tabSelected="1" topLeftCell="D1" workbookViewId="0">
      <pane ySplit="590" activePane="bottomLeft"/>
      <selection activeCell="K2" sqref="K2"/>
      <selection pane="bottomLeft" activeCell="H142" sqref="H142"/>
    </sheetView>
  </sheetViews>
  <sheetFormatPr baseColWidth="10" defaultRowHeight="14.5" x14ac:dyDescent="0.35"/>
  <cols>
    <col min="1" max="1" width="16.54296875" bestFit="1" customWidth="1"/>
    <col min="2" max="2" width="24.08984375" bestFit="1" customWidth="1"/>
    <col min="3" max="3" width="24.08984375" customWidth="1"/>
    <col min="4" max="4" width="44.08984375" bestFit="1" customWidth="1"/>
    <col min="5" max="5" width="11.7265625" bestFit="1" customWidth="1"/>
    <col min="6" max="6" width="33.08984375" bestFit="1" customWidth="1"/>
    <col min="7" max="7" width="12.7265625" bestFit="1" customWidth="1"/>
    <col min="8" max="8" width="18.90625" bestFit="1" customWidth="1"/>
    <col min="9" max="9" width="16.453125" bestFit="1" customWidth="1"/>
    <col min="10" max="10" width="17.36328125" bestFit="1" customWidth="1"/>
    <col min="11" max="11" width="17.7265625" bestFit="1" customWidth="1"/>
    <col min="12" max="12" width="4.81640625" bestFit="1" customWidth="1"/>
    <col min="13" max="13" width="5.7265625" bestFit="1" customWidth="1"/>
    <col min="14" max="14" width="8.81640625" customWidth="1"/>
  </cols>
  <sheetData>
    <row r="1" spans="1:14" s="1" customFormat="1" ht="15" thickBot="1" x14ac:dyDescent="0.4">
      <c r="A1" s="1" t="s">
        <v>19</v>
      </c>
      <c r="B1" s="1" t="s">
        <v>0</v>
      </c>
      <c r="C1" s="1" t="s">
        <v>30</v>
      </c>
      <c r="D1" s="1" t="s">
        <v>20</v>
      </c>
      <c r="E1" s="1" t="s">
        <v>21</v>
      </c>
      <c r="F1" s="1" t="s">
        <v>22</v>
      </c>
      <c r="G1" s="1" t="s">
        <v>26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23</v>
      </c>
      <c r="M1" s="1" t="s">
        <v>27</v>
      </c>
      <c r="N1" s="1" t="s">
        <v>28</v>
      </c>
    </row>
    <row r="2" spans="1:14" hidden="1" x14ac:dyDescent="0.35">
      <c r="A2" t="s">
        <v>24</v>
      </c>
      <c r="B2" t="s">
        <v>2</v>
      </c>
      <c r="D2" t="s">
        <v>1</v>
      </c>
      <c r="E2" t="s">
        <v>25</v>
      </c>
      <c r="G2">
        <v>75.7</v>
      </c>
      <c r="H2" s="2">
        <f>G2*(1-(L2/100))</f>
        <v>17.259599999999999</v>
      </c>
      <c r="L2">
        <v>77.2</v>
      </c>
    </row>
    <row r="3" spans="1:14" hidden="1" x14ac:dyDescent="0.35">
      <c r="A3" t="s">
        <v>24</v>
      </c>
      <c r="B3" t="s">
        <v>2</v>
      </c>
      <c r="D3" t="s">
        <v>1</v>
      </c>
      <c r="E3" t="s">
        <v>25</v>
      </c>
      <c r="G3">
        <v>33</v>
      </c>
      <c r="H3" s="2">
        <f t="shared" ref="H3:H17" si="0">G3*(1-(L3/100))</f>
        <v>7.5239999999999991</v>
      </c>
      <c r="L3">
        <v>77.2</v>
      </c>
    </row>
    <row r="4" spans="1:14" hidden="1" x14ac:dyDescent="0.35">
      <c r="A4" t="s">
        <v>24</v>
      </c>
      <c r="B4" t="s">
        <v>2</v>
      </c>
      <c r="D4" t="s">
        <v>1</v>
      </c>
      <c r="E4" t="s">
        <v>25</v>
      </c>
      <c r="G4">
        <v>29.5</v>
      </c>
      <c r="H4" s="2">
        <f t="shared" si="0"/>
        <v>6.7259999999999991</v>
      </c>
      <c r="L4">
        <v>77.2</v>
      </c>
    </row>
    <row r="5" spans="1:14" hidden="1" x14ac:dyDescent="0.35">
      <c r="A5" t="s">
        <v>24</v>
      </c>
      <c r="B5" t="s">
        <v>2</v>
      </c>
      <c r="D5" t="s">
        <v>1</v>
      </c>
      <c r="E5" t="s">
        <v>25</v>
      </c>
      <c r="G5">
        <v>23.3</v>
      </c>
      <c r="H5" s="2">
        <f t="shared" si="0"/>
        <v>5.3123999999999993</v>
      </c>
      <c r="L5">
        <v>77.2</v>
      </c>
    </row>
    <row r="6" spans="1:14" hidden="1" x14ac:dyDescent="0.35">
      <c r="A6" t="s">
        <v>24</v>
      </c>
      <c r="B6" t="s">
        <v>2</v>
      </c>
      <c r="D6" t="s">
        <v>1</v>
      </c>
      <c r="E6" t="s">
        <v>25</v>
      </c>
      <c r="G6">
        <v>18.600000000000001</v>
      </c>
      <c r="H6" s="2">
        <f t="shared" si="0"/>
        <v>4.2408000000000001</v>
      </c>
      <c r="L6">
        <v>77.2</v>
      </c>
    </row>
    <row r="7" spans="1:14" hidden="1" x14ac:dyDescent="0.35">
      <c r="A7" t="s">
        <v>24</v>
      </c>
      <c r="B7" t="s">
        <v>2</v>
      </c>
      <c r="D7" t="s">
        <v>1</v>
      </c>
      <c r="E7" t="s">
        <v>25</v>
      </c>
      <c r="G7">
        <v>11.3</v>
      </c>
      <c r="H7" s="2">
        <f t="shared" si="0"/>
        <v>2.5764</v>
      </c>
      <c r="L7">
        <v>77.2</v>
      </c>
    </row>
    <row r="8" spans="1:14" hidden="1" x14ac:dyDescent="0.35">
      <c r="A8" t="s">
        <v>24</v>
      </c>
      <c r="B8" t="s">
        <v>2</v>
      </c>
      <c r="D8" t="s">
        <v>1</v>
      </c>
      <c r="E8" t="s">
        <v>25</v>
      </c>
      <c r="G8">
        <v>6.06</v>
      </c>
      <c r="H8" s="2">
        <f t="shared" si="0"/>
        <v>1.3816799999999998</v>
      </c>
      <c r="L8">
        <v>77.2</v>
      </c>
    </row>
    <row r="9" spans="1:14" hidden="1" x14ac:dyDescent="0.35">
      <c r="A9" t="s">
        <v>24</v>
      </c>
      <c r="B9" t="s">
        <v>2</v>
      </c>
      <c r="D9" t="s">
        <v>1</v>
      </c>
      <c r="E9" t="s">
        <v>25</v>
      </c>
      <c r="G9">
        <v>9.8699999999999992</v>
      </c>
      <c r="H9" s="2">
        <f t="shared" si="0"/>
        <v>2.2503599999999997</v>
      </c>
      <c r="L9">
        <v>77.2</v>
      </c>
    </row>
    <row r="10" spans="1:14" hidden="1" x14ac:dyDescent="0.35">
      <c r="A10" t="s">
        <v>24</v>
      </c>
      <c r="B10" t="s">
        <v>2</v>
      </c>
      <c r="D10" t="s">
        <v>1</v>
      </c>
      <c r="E10" t="s">
        <v>25</v>
      </c>
      <c r="G10">
        <v>10.11</v>
      </c>
      <c r="H10" s="2">
        <f t="shared" si="0"/>
        <v>2.3050799999999998</v>
      </c>
      <c r="L10">
        <v>77.2</v>
      </c>
    </row>
    <row r="11" spans="1:14" hidden="1" x14ac:dyDescent="0.35">
      <c r="A11" t="s">
        <v>24</v>
      </c>
      <c r="B11" t="s">
        <v>2</v>
      </c>
      <c r="D11" t="s">
        <v>1</v>
      </c>
      <c r="E11" t="s">
        <v>25</v>
      </c>
      <c r="G11">
        <v>9.76</v>
      </c>
      <c r="H11" s="2">
        <f t="shared" si="0"/>
        <v>2.2252799999999997</v>
      </c>
      <c r="L11">
        <v>77.2</v>
      </c>
    </row>
    <row r="12" spans="1:14" hidden="1" x14ac:dyDescent="0.35">
      <c r="A12" t="s">
        <v>24</v>
      </c>
      <c r="B12" t="s">
        <v>2</v>
      </c>
      <c r="D12" t="s">
        <v>1</v>
      </c>
      <c r="E12" t="s">
        <v>25</v>
      </c>
      <c r="G12">
        <v>52.4</v>
      </c>
      <c r="H12" s="2">
        <f t="shared" si="0"/>
        <v>11.947199999999999</v>
      </c>
      <c r="L12">
        <v>77.2</v>
      </c>
    </row>
    <row r="13" spans="1:14" hidden="1" x14ac:dyDescent="0.35">
      <c r="A13" t="s">
        <v>24</v>
      </c>
      <c r="B13" t="s">
        <v>2</v>
      </c>
      <c r="D13" t="s">
        <v>1</v>
      </c>
      <c r="E13" t="s">
        <v>25</v>
      </c>
      <c r="G13">
        <v>26.7</v>
      </c>
      <c r="H13" s="2">
        <f t="shared" si="0"/>
        <v>6.0875999999999992</v>
      </c>
      <c r="L13">
        <v>77.2</v>
      </c>
    </row>
    <row r="14" spans="1:14" hidden="1" x14ac:dyDescent="0.35">
      <c r="A14" t="s">
        <v>24</v>
      </c>
      <c r="B14" t="s">
        <v>2</v>
      </c>
      <c r="D14" t="s">
        <v>1</v>
      </c>
      <c r="E14" t="s">
        <v>25</v>
      </c>
      <c r="G14">
        <v>4.26</v>
      </c>
      <c r="H14" s="2">
        <f t="shared" si="0"/>
        <v>0.97127999999999992</v>
      </c>
      <c r="L14">
        <v>77.2</v>
      </c>
    </row>
    <row r="15" spans="1:14" hidden="1" x14ac:dyDescent="0.35">
      <c r="A15" t="s">
        <v>24</v>
      </c>
      <c r="B15" t="s">
        <v>2</v>
      </c>
      <c r="D15" t="s">
        <v>1</v>
      </c>
      <c r="E15" t="s">
        <v>25</v>
      </c>
      <c r="G15">
        <v>81.3</v>
      </c>
      <c r="H15" s="2">
        <f t="shared" si="0"/>
        <v>18.536399999999997</v>
      </c>
      <c r="L15">
        <v>77.2</v>
      </c>
    </row>
    <row r="16" spans="1:14" hidden="1" x14ac:dyDescent="0.35">
      <c r="A16" t="s">
        <v>24</v>
      </c>
      <c r="B16" t="s">
        <v>2</v>
      </c>
      <c r="D16" t="s">
        <v>3</v>
      </c>
      <c r="E16" t="s">
        <v>25</v>
      </c>
      <c r="G16">
        <v>15.65</v>
      </c>
      <c r="H16" s="2">
        <f t="shared" si="0"/>
        <v>3.5681999999999996</v>
      </c>
      <c r="J16">
        <f>5.65*(1-(L16/100))</f>
        <v>1.2882</v>
      </c>
      <c r="K16">
        <f>43*(1-(L16/100))</f>
        <v>9.8039999999999985</v>
      </c>
      <c r="L16">
        <v>77.2</v>
      </c>
    </row>
    <row r="17" spans="1:12" hidden="1" x14ac:dyDescent="0.35">
      <c r="A17" t="s">
        <v>24</v>
      </c>
      <c r="B17" t="s">
        <v>2</v>
      </c>
      <c r="D17" t="s">
        <v>4</v>
      </c>
      <c r="E17" t="s">
        <v>25</v>
      </c>
      <c r="G17">
        <v>32.5</v>
      </c>
      <c r="H17" s="2">
        <f t="shared" si="0"/>
        <v>7.4099999999999993</v>
      </c>
      <c r="J17">
        <f>27.5*(1-(L17/100))</f>
        <v>6.27</v>
      </c>
      <c r="K17">
        <f>41.1*(1-(L17/100))</f>
        <v>9.3707999999999991</v>
      </c>
      <c r="L17">
        <v>77.2</v>
      </c>
    </row>
    <row r="18" spans="1:12" hidden="1" x14ac:dyDescent="0.35">
      <c r="A18" t="s">
        <v>24</v>
      </c>
      <c r="B18" t="s">
        <v>2</v>
      </c>
      <c r="D18" t="s">
        <v>5</v>
      </c>
      <c r="E18" t="s">
        <v>25</v>
      </c>
      <c r="H18">
        <v>7.59</v>
      </c>
      <c r="I18">
        <v>0.02</v>
      </c>
      <c r="L18">
        <v>77.2</v>
      </c>
    </row>
    <row r="19" spans="1:12" hidden="1" x14ac:dyDescent="0.35">
      <c r="A19" t="s">
        <v>24</v>
      </c>
      <c r="B19" t="s">
        <v>2</v>
      </c>
      <c r="D19" t="s">
        <v>5</v>
      </c>
      <c r="E19" t="s">
        <v>25</v>
      </c>
      <c r="H19">
        <v>5.71</v>
      </c>
      <c r="I19">
        <v>7.0000000000000007E-2</v>
      </c>
      <c r="L19">
        <v>77.2</v>
      </c>
    </row>
    <row r="20" spans="1:12" hidden="1" x14ac:dyDescent="0.35">
      <c r="A20" t="s">
        <v>24</v>
      </c>
      <c r="B20" t="s">
        <v>2</v>
      </c>
      <c r="D20" t="s">
        <v>5</v>
      </c>
      <c r="E20" t="s">
        <v>25</v>
      </c>
      <c r="H20">
        <v>5.68</v>
      </c>
      <c r="I20">
        <v>0.02</v>
      </c>
      <c r="L20">
        <v>77.2</v>
      </c>
    </row>
    <row r="21" spans="1:12" hidden="1" x14ac:dyDescent="0.35">
      <c r="A21" t="s">
        <v>24</v>
      </c>
      <c r="B21" t="s">
        <v>2</v>
      </c>
      <c r="D21" t="s">
        <v>5</v>
      </c>
      <c r="E21" t="s">
        <v>25</v>
      </c>
      <c r="G21">
        <v>58.5</v>
      </c>
      <c r="H21">
        <f t="shared" ref="H21:H39" si="1">G21*(1-(L21/100))</f>
        <v>13.337999999999999</v>
      </c>
      <c r="I21">
        <f>2*(1-L21/100)</f>
        <v>0.45599999999999996</v>
      </c>
      <c r="L21">
        <v>77.2</v>
      </c>
    </row>
    <row r="22" spans="1:12" hidden="1" x14ac:dyDescent="0.35">
      <c r="A22" t="s">
        <v>24</v>
      </c>
      <c r="B22" t="s">
        <v>2</v>
      </c>
      <c r="D22" t="s">
        <v>5</v>
      </c>
      <c r="E22" t="s">
        <v>25</v>
      </c>
      <c r="G22">
        <v>62.9</v>
      </c>
      <c r="H22">
        <f t="shared" si="1"/>
        <v>14.341199999999999</v>
      </c>
      <c r="I22">
        <f>4.3*(1-L22/100)</f>
        <v>0.98039999999999983</v>
      </c>
      <c r="L22">
        <v>77.2</v>
      </c>
    </row>
    <row r="23" spans="1:12" hidden="1" x14ac:dyDescent="0.35">
      <c r="A23" t="s">
        <v>24</v>
      </c>
      <c r="B23" t="s">
        <v>2</v>
      </c>
      <c r="D23" t="s">
        <v>6</v>
      </c>
      <c r="E23" t="s">
        <v>25</v>
      </c>
      <c r="G23">
        <v>174.3</v>
      </c>
      <c r="H23">
        <f t="shared" si="1"/>
        <v>39.740400000000001</v>
      </c>
      <c r="L23">
        <v>77.2</v>
      </c>
    </row>
    <row r="24" spans="1:12" hidden="1" x14ac:dyDescent="0.35">
      <c r="A24" t="s">
        <v>29</v>
      </c>
      <c r="B24" t="s">
        <v>7</v>
      </c>
      <c r="D24" t="s">
        <v>6</v>
      </c>
      <c r="E24" t="s">
        <v>25</v>
      </c>
      <c r="G24">
        <v>151.1</v>
      </c>
      <c r="H24">
        <f t="shared" si="1"/>
        <v>34.450799999999994</v>
      </c>
      <c r="L24">
        <v>77.2</v>
      </c>
    </row>
    <row r="25" spans="1:12" hidden="1" x14ac:dyDescent="0.35">
      <c r="A25" t="s">
        <v>29</v>
      </c>
      <c r="B25" t="s">
        <v>8</v>
      </c>
      <c r="D25" t="s">
        <v>6</v>
      </c>
      <c r="E25" t="s">
        <v>25</v>
      </c>
      <c r="G25">
        <v>91.4</v>
      </c>
      <c r="H25">
        <f t="shared" si="1"/>
        <v>20.839199999999998</v>
      </c>
      <c r="L25">
        <v>77.2</v>
      </c>
    </row>
    <row r="26" spans="1:12" hidden="1" x14ac:dyDescent="0.35">
      <c r="A26" t="s">
        <v>29</v>
      </c>
      <c r="B26" t="s">
        <v>9</v>
      </c>
      <c r="D26" t="s">
        <v>6</v>
      </c>
      <c r="E26" t="s">
        <v>25</v>
      </c>
      <c r="G26">
        <v>62.1</v>
      </c>
      <c r="H26">
        <f t="shared" si="1"/>
        <v>14.158799999999999</v>
      </c>
      <c r="L26">
        <v>77.2</v>
      </c>
    </row>
    <row r="27" spans="1:12" hidden="1" x14ac:dyDescent="0.35">
      <c r="A27" t="s">
        <v>29</v>
      </c>
      <c r="B27" t="s">
        <v>10</v>
      </c>
      <c r="D27" t="s">
        <v>6</v>
      </c>
      <c r="E27" t="s">
        <v>25</v>
      </c>
      <c r="G27">
        <v>36.5</v>
      </c>
      <c r="H27">
        <f t="shared" si="1"/>
        <v>8.3219999999999992</v>
      </c>
      <c r="L27">
        <v>77.2</v>
      </c>
    </row>
    <row r="28" spans="1:12" hidden="1" x14ac:dyDescent="0.35">
      <c r="A28" t="s">
        <v>29</v>
      </c>
      <c r="B28" t="s">
        <v>11</v>
      </c>
      <c r="D28" t="s">
        <v>6</v>
      </c>
      <c r="E28" t="s">
        <v>25</v>
      </c>
      <c r="G28">
        <v>34.200000000000003</v>
      </c>
      <c r="H28">
        <f t="shared" si="1"/>
        <v>7.7976000000000001</v>
      </c>
      <c r="L28">
        <v>77.2</v>
      </c>
    </row>
    <row r="29" spans="1:12" hidden="1" x14ac:dyDescent="0.35">
      <c r="A29" t="s">
        <v>29</v>
      </c>
      <c r="B29" t="s">
        <v>12</v>
      </c>
      <c r="D29" t="s">
        <v>6</v>
      </c>
      <c r="E29" t="s">
        <v>25</v>
      </c>
      <c r="G29">
        <v>12</v>
      </c>
      <c r="H29">
        <f t="shared" si="1"/>
        <v>2.7359999999999998</v>
      </c>
      <c r="I29">
        <f>3.3*(1-L29/100)</f>
        <v>0.75239999999999985</v>
      </c>
      <c r="L29">
        <v>77.2</v>
      </c>
    </row>
    <row r="30" spans="1:12" hidden="1" x14ac:dyDescent="0.35">
      <c r="A30" t="s">
        <v>24</v>
      </c>
      <c r="B30" t="s">
        <v>2</v>
      </c>
      <c r="D30" t="s">
        <v>13</v>
      </c>
      <c r="E30" t="s">
        <v>25</v>
      </c>
      <c r="G30">
        <f>19.05/0.1</f>
        <v>190.5</v>
      </c>
      <c r="H30">
        <f t="shared" si="1"/>
        <v>43.433999999999997</v>
      </c>
      <c r="I30">
        <f>0.4*(1-L30/100)</f>
        <v>9.1200000000000003E-2</v>
      </c>
      <c r="L30">
        <v>77.2</v>
      </c>
    </row>
    <row r="31" spans="1:12" hidden="1" x14ac:dyDescent="0.35">
      <c r="A31" t="s">
        <v>24</v>
      </c>
      <c r="B31" t="s">
        <v>2</v>
      </c>
      <c r="D31" t="s">
        <v>13</v>
      </c>
      <c r="E31" t="s">
        <v>25</v>
      </c>
      <c r="G31">
        <f>66.7</f>
        <v>66.7</v>
      </c>
      <c r="H31">
        <f t="shared" si="1"/>
        <v>15.207599999999999</v>
      </c>
      <c r="I31">
        <f>0.3*(1-L31/100)</f>
        <v>6.8399999999999989E-2</v>
      </c>
      <c r="L31">
        <v>77.2</v>
      </c>
    </row>
    <row r="32" spans="1:12" hidden="1" x14ac:dyDescent="0.35">
      <c r="A32" t="s">
        <v>24</v>
      </c>
      <c r="B32" t="s">
        <v>2</v>
      </c>
      <c r="D32" t="s">
        <v>13</v>
      </c>
      <c r="E32" t="s">
        <v>25</v>
      </c>
      <c r="G32">
        <f>75.5</f>
        <v>75.5</v>
      </c>
      <c r="H32">
        <f t="shared" si="1"/>
        <v>17.213999999999999</v>
      </c>
      <c r="I32">
        <v>0</v>
      </c>
      <c r="L32">
        <v>77.2</v>
      </c>
    </row>
    <row r="33" spans="1:14" hidden="1" x14ac:dyDescent="0.35">
      <c r="A33" t="s">
        <v>24</v>
      </c>
      <c r="B33" t="s">
        <v>2</v>
      </c>
      <c r="D33" t="s">
        <v>13</v>
      </c>
      <c r="E33" t="s">
        <v>25</v>
      </c>
      <c r="G33">
        <v>34.4</v>
      </c>
      <c r="H33">
        <f t="shared" si="1"/>
        <v>7.8431999999999986</v>
      </c>
      <c r="I33">
        <v>0</v>
      </c>
      <c r="L33">
        <v>77.2</v>
      </c>
    </row>
    <row r="34" spans="1:14" hidden="1" x14ac:dyDescent="0.35">
      <c r="A34" t="s">
        <v>24</v>
      </c>
      <c r="B34" t="s">
        <v>2</v>
      </c>
      <c r="D34" t="s">
        <v>13</v>
      </c>
      <c r="E34" t="s">
        <v>25</v>
      </c>
      <c r="G34">
        <v>38.299999999999997</v>
      </c>
      <c r="H34">
        <f t="shared" si="1"/>
        <v>8.7323999999999984</v>
      </c>
      <c r="I34">
        <f>0.1*(1-L34/100)</f>
        <v>2.2800000000000001E-2</v>
      </c>
      <c r="L34">
        <v>77.2</v>
      </c>
    </row>
    <row r="35" spans="1:14" hidden="1" x14ac:dyDescent="0.35">
      <c r="A35" t="s">
        <v>24</v>
      </c>
      <c r="B35" t="s">
        <v>2</v>
      </c>
      <c r="D35" t="s">
        <v>13</v>
      </c>
      <c r="E35" t="s">
        <v>25</v>
      </c>
      <c r="G35">
        <v>36.9</v>
      </c>
      <c r="H35">
        <f t="shared" si="1"/>
        <v>8.4131999999999998</v>
      </c>
      <c r="I35">
        <v>0</v>
      </c>
      <c r="L35">
        <v>77.2</v>
      </c>
    </row>
    <row r="36" spans="1:14" hidden="1" x14ac:dyDescent="0.35">
      <c r="A36" t="s">
        <v>24</v>
      </c>
      <c r="D36" t="s">
        <v>18</v>
      </c>
      <c r="E36" t="s">
        <v>25</v>
      </c>
      <c r="G36">
        <v>52.2</v>
      </c>
      <c r="H36">
        <f t="shared" si="1"/>
        <v>11.9016</v>
      </c>
      <c r="L36">
        <v>77.2</v>
      </c>
    </row>
    <row r="37" spans="1:14" hidden="1" x14ac:dyDescent="0.35">
      <c r="A37" t="s">
        <v>24</v>
      </c>
      <c r="D37" t="s">
        <v>18</v>
      </c>
      <c r="E37" t="s">
        <v>25</v>
      </c>
      <c r="G37">
        <v>55.4</v>
      </c>
      <c r="H37">
        <f t="shared" si="1"/>
        <v>12.631199999999998</v>
      </c>
      <c r="L37">
        <v>77.2</v>
      </c>
    </row>
    <row r="38" spans="1:14" hidden="1" x14ac:dyDescent="0.35">
      <c r="A38" t="s">
        <v>24</v>
      </c>
      <c r="D38" t="s">
        <v>18</v>
      </c>
      <c r="E38" t="s">
        <v>25</v>
      </c>
      <c r="G38">
        <v>64.2</v>
      </c>
      <c r="H38">
        <f t="shared" si="1"/>
        <v>14.637599999999999</v>
      </c>
      <c r="L38">
        <v>77.2</v>
      </c>
    </row>
    <row r="39" spans="1:14" hidden="1" x14ac:dyDescent="0.35">
      <c r="A39" t="s">
        <v>24</v>
      </c>
      <c r="D39" t="s">
        <v>18</v>
      </c>
      <c r="E39" t="s">
        <v>25</v>
      </c>
      <c r="G39">
        <v>52.8</v>
      </c>
      <c r="H39">
        <f t="shared" si="1"/>
        <v>12.038399999999998</v>
      </c>
      <c r="L39">
        <v>77.2</v>
      </c>
    </row>
    <row r="40" spans="1:14" hidden="1" x14ac:dyDescent="0.35">
      <c r="A40" t="s">
        <v>24</v>
      </c>
      <c r="B40" t="s">
        <v>2</v>
      </c>
      <c r="E40" t="s">
        <v>25</v>
      </c>
      <c r="F40" t="s">
        <v>14</v>
      </c>
      <c r="L40">
        <v>77.2</v>
      </c>
      <c r="M40">
        <v>20.46</v>
      </c>
      <c r="N40">
        <f>M40*(1-(L40/100))</f>
        <v>4.6648800000000001</v>
      </c>
    </row>
    <row r="41" spans="1:14" hidden="1" x14ac:dyDescent="0.35">
      <c r="A41" t="s">
        <v>29</v>
      </c>
      <c r="B41" t="s">
        <v>16</v>
      </c>
      <c r="F41" t="s">
        <v>15</v>
      </c>
      <c r="N41">
        <v>5.8</v>
      </c>
    </row>
    <row r="42" spans="1:14" hidden="1" x14ac:dyDescent="0.35">
      <c r="A42" t="s">
        <v>29</v>
      </c>
      <c r="B42" t="s">
        <v>16</v>
      </c>
      <c r="F42" t="s">
        <v>15</v>
      </c>
      <c r="N42">
        <v>4.3</v>
      </c>
    </row>
    <row r="43" spans="1:14" hidden="1" x14ac:dyDescent="0.35">
      <c r="A43" t="s">
        <v>29</v>
      </c>
      <c r="B43" t="s">
        <v>16</v>
      </c>
      <c r="F43" t="s">
        <v>15</v>
      </c>
      <c r="N43">
        <v>4.5</v>
      </c>
    </row>
    <row r="44" spans="1:14" hidden="1" x14ac:dyDescent="0.35">
      <c r="A44" t="s">
        <v>29</v>
      </c>
      <c r="B44" t="s">
        <v>16</v>
      </c>
      <c r="F44" t="s">
        <v>15</v>
      </c>
      <c r="N44">
        <v>4.2</v>
      </c>
    </row>
    <row r="45" spans="1:14" hidden="1" x14ac:dyDescent="0.35">
      <c r="A45" t="s">
        <v>29</v>
      </c>
      <c r="B45" t="s">
        <v>16</v>
      </c>
      <c r="F45" t="s">
        <v>15</v>
      </c>
      <c r="N45">
        <v>2.4</v>
      </c>
    </row>
    <row r="46" spans="1:14" hidden="1" x14ac:dyDescent="0.35">
      <c r="A46" t="s">
        <v>29</v>
      </c>
      <c r="B46" t="s">
        <v>16</v>
      </c>
      <c r="F46" t="s">
        <v>15</v>
      </c>
      <c r="N46">
        <v>6.3</v>
      </c>
    </row>
    <row r="47" spans="1:14" hidden="1" x14ac:dyDescent="0.35">
      <c r="A47" t="s">
        <v>29</v>
      </c>
      <c r="B47" t="s">
        <v>16</v>
      </c>
      <c r="F47" t="s">
        <v>15</v>
      </c>
      <c r="N47">
        <v>5.3</v>
      </c>
    </row>
    <row r="48" spans="1:14" hidden="1" x14ac:dyDescent="0.35">
      <c r="A48" t="s">
        <v>29</v>
      </c>
      <c r="B48" t="s">
        <v>16</v>
      </c>
      <c r="F48" t="s">
        <v>15</v>
      </c>
      <c r="N48">
        <v>5.3</v>
      </c>
    </row>
    <row r="49" spans="1:14" hidden="1" x14ac:dyDescent="0.35">
      <c r="A49" t="s">
        <v>29</v>
      </c>
      <c r="B49" t="s">
        <v>16</v>
      </c>
      <c r="F49" t="s">
        <v>15</v>
      </c>
      <c r="N49">
        <v>4.2</v>
      </c>
    </row>
    <row r="50" spans="1:14" hidden="1" x14ac:dyDescent="0.35">
      <c r="A50" t="s">
        <v>29</v>
      </c>
      <c r="B50" t="s">
        <v>16</v>
      </c>
      <c r="F50" t="s">
        <v>15</v>
      </c>
      <c r="N50">
        <v>6.4</v>
      </c>
    </row>
    <row r="51" spans="1:14" hidden="1" x14ac:dyDescent="0.35">
      <c r="A51" t="s">
        <v>29</v>
      </c>
      <c r="B51" t="s">
        <v>16</v>
      </c>
      <c r="F51" t="s">
        <v>15</v>
      </c>
      <c r="N51">
        <v>5.6</v>
      </c>
    </row>
    <row r="52" spans="1:14" hidden="1" x14ac:dyDescent="0.35">
      <c r="A52" t="s">
        <v>29</v>
      </c>
      <c r="B52" t="s">
        <v>16</v>
      </c>
      <c r="F52" t="s">
        <v>15</v>
      </c>
      <c r="N52">
        <v>8.1999999999999993</v>
      </c>
    </row>
    <row r="53" spans="1:14" hidden="1" x14ac:dyDescent="0.35">
      <c r="A53" t="s">
        <v>29</v>
      </c>
      <c r="B53" t="s">
        <v>16</v>
      </c>
      <c r="F53" t="s">
        <v>15</v>
      </c>
      <c r="N53">
        <v>4.5999999999999996</v>
      </c>
    </row>
    <row r="54" spans="1:14" hidden="1" x14ac:dyDescent="0.35">
      <c r="A54" t="s">
        <v>29</v>
      </c>
      <c r="B54" t="s">
        <v>16</v>
      </c>
      <c r="F54" t="s">
        <v>15</v>
      </c>
      <c r="N54">
        <v>4.2</v>
      </c>
    </row>
    <row r="55" spans="1:14" hidden="1" x14ac:dyDescent="0.35">
      <c r="A55" t="s">
        <v>24</v>
      </c>
      <c r="B55" t="s">
        <v>2</v>
      </c>
      <c r="F55" t="s">
        <v>17</v>
      </c>
      <c r="N55">
        <v>4.6455000000000002</v>
      </c>
    </row>
    <row r="56" spans="1:14" hidden="1" x14ac:dyDescent="0.35">
      <c r="A56" t="s">
        <v>31</v>
      </c>
      <c r="B56" t="s">
        <v>32</v>
      </c>
      <c r="C56" t="s">
        <v>34</v>
      </c>
      <c r="D56" t="s">
        <v>33</v>
      </c>
      <c r="H56">
        <v>143</v>
      </c>
      <c r="I56">
        <v>31.6</v>
      </c>
      <c r="J56">
        <v>109</v>
      </c>
      <c r="K56">
        <v>204</v>
      </c>
    </row>
    <row r="57" spans="1:14" hidden="1" x14ac:dyDescent="0.35">
      <c r="A57" t="s">
        <v>31</v>
      </c>
      <c r="B57" t="s">
        <v>32</v>
      </c>
      <c r="C57" t="s">
        <v>35</v>
      </c>
      <c r="D57" t="s">
        <v>33</v>
      </c>
      <c r="H57">
        <v>733</v>
      </c>
      <c r="I57">
        <v>490</v>
      </c>
      <c r="J57">
        <v>233</v>
      </c>
      <c r="K57">
        <v>1670</v>
      </c>
    </row>
    <row r="58" spans="1:14" hidden="1" x14ac:dyDescent="0.35">
      <c r="A58" t="s">
        <v>31</v>
      </c>
      <c r="B58" t="s">
        <v>32</v>
      </c>
      <c r="C58" t="s">
        <v>36</v>
      </c>
      <c r="D58" t="s">
        <v>33</v>
      </c>
      <c r="H58">
        <v>104</v>
      </c>
      <c r="I58">
        <v>43.5</v>
      </c>
      <c r="J58">
        <v>52.8</v>
      </c>
      <c r="K58">
        <v>210</v>
      </c>
    </row>
    <row r="59" spans="1:14" hidden="1" x14ac:dyDescent="0.35">
      <c r="A59" t="s">
        <v>31</v>
      </c>
      <c r="B59" t="s">
        <v>32</v>
      </c>
      <c r="C59" t="s">
        <v>37</v>
      </c>
      <c r="D59" t="s">
        <v>33</v>
      </c>
      <c r="H59">
        <v>321</v>
      </c>
      <c r="I59">
        <v>104</v>
      </c>
      <c r="J59">
        <v>174</v>
      </c>
      <c r="K59">
        <v>501</v>
      </c>
    </row>
    <row r="60" spans="1:14" hidden="1" x14ac:dyDescent="0.35">
      <c r="A60" t="s">
        <v>31</v>
      </c>
      <c r="B60" t="s">
        <v>32</v>
      </c>
      <c r="C60" t="s">
        <v>38</v>
      </c>
      <c r="D60" t="s">
        <v>33</v>
      </c>
      <c r="H60">
        <v>560</v>
      </c>
      <c r="I60">
        <v>74</v>
      </c>
      <c r="J60">
        <v>471</v>
      </c>
      <c r="K60">
        <v>758</v>
      </c>
    </row>
    <row r="61" spans="1:14" hidden="1" x14ac:dyDescent="0.35">
      <c r="A61" t="s">
        <v>31</v>
      </c>
      <c r="B61" t="s">
        <v>32</v>
      </c>
      <c r="C61" t="s">
        <v>39</v>
      </c>
      <c r="D61" t="s">
        <v>33</v>
      </c>
      <c r="H61">
        <v>220</v>
      </c>
      <c r="I61">
        <v>68.8</v>
      </c>
      <c r="J61">
        <v>162</v>
      </c>
      <c r="K61">
        <v>360</v>
      </c>
    </row>
    <row r="62" spans="1:14" hidden="1" x14ac:dyDescent="0.35">
      <c r="A62" t="s">
        <v>31</v>
      </c>
      <c r="B62" t="s">
        <v>32</v>
      </c>
      <c r="C62" t="s">
        <v>40</v>
      </c>
      <c r="D62" t="s">
        <v>33</v>
      </c>
      <c r="H62">
        <v>23.8</v>
      </c>
      <c r="I62">
        <v>7.53</v>
      </c>
      <c r="J62">
        <v>12.9</v>
      </c>
      <c r="K62">
        <v>39.6</v>
      </c>
    </row>
    <row r="63" spans="1:14" hidden="1" x14ac:dyDescent="0.35">
      <c r="A63" t="s">
        <v>31</v>
      </c>
      <c r="B63" t="s">
        <v>32</v>
      </c>
      <c r="C63" t="s">
        <v>41</v>
      </c>
      <c r="D63" t="s">
        <v>33</v>
      </c>
      <c r="H63">
        <v>23.2</v>
      </c>
      <c r="I63">
        <v>15.3</v>
      </c>
      <c r="J63">
        <v>6.75</v>
      </c>
      <c r="K63">
        <v>57.4</v>
      </c>
    </row>
    <row r="64" spans="1:14" hidden="1" x14ac:dyDescent="0.35">
      <c r="A64" t="s">
        <v>31</v>
      </c>
      <c r="B64" t="s">
        <v>32</v>
      </c>
      <c r="C64" t="s">
        <v>42</v>
      </c>
      <c r="D64" t="s">
        <v>33</v>
      </c>
      <c r="H64">
        <v>0.3</v>
      </c>
    </row>
    <row r="65" spans="1:11" hidden="1" x14ac:dyDescent="0.35">
      <c r="A65" t="s">
        <v>31</v>
      </c>
      <c r="B65" t="s">
        <v>32</v>
      </c>
      <c r="C65" t="s">
        <v>43</v>
      </c>
      <c r="D65" t="s">
        <v>33</v>
      </c>
      <c r="H65">
        <v>182</v>
      </c>
    </row>
    <row r="66" spans="1:11" hidden="1" x14ac:dyDescent="0.35">
      <c r="A66" t="s">
        <v>31</v>
      </c>
      <c r="B66" t="s">
        <v>32</v>
      </c>
      <c r="C66" t="s">
        <v>44</v>
      </c>
      <c r="D66" t="s">
        <v>33</v>
      </c>
      <c r="H66">
        <v>762</v>
      </c>
    </row>
    <row r="67" spans="1:11" hidden="1" x14ac:dyDescent="0.35">
      <c r="A67" t="s">
        <v>31</v>
      </c>
      <c r="B67" t="s">
        <v>32</v>
      </c>
      <c r="C67" t="s">
        <v>45</v>
      </c>
      <c r="D67" t="s">
        <v>33</v>
      </c>
      <c r="H67">
        <v>36.6</v>
      </c>
    </row>
    <row r="68" spans="1:11" hidden="1" x14ac:dyDescent="0.35">
      <c r="A68" t="s">
        <v>31</v>
      </c>
      <c r="B68" t="s">
        <v>32</v>
      </c>
      <c r="C68" t="s">
        <v>50</v>
      </c>
      <c r="D68" t="s">
        <v>33</v>
      </c>
      <c r="H68">
        <v>25.1</v>
      </c>
      <c r="I68">
        <v>11.4</v>
      </c>
      <c r="J68">
        <v>12.4</v>
      </c>
      <c r="K68">
        <v>40</v>
      </c>
    </row>
    <row r="69" spans="1:11" hidden="1" x14ac:dyDescent="0.35">
      <c r="A69" t="s">
        <v>31</v>
      </c>
      <c r="B69" t="s">
        <v>32</v>
      </c>
      <c r="C69" t="s">
        <v>51</v>
      </c>
      <c r="D69" t="s">
        <v>33</v>
      </c>
      <c r="H69">
        <v>31</v>
      </c>
      <c r="I69">
        <v>8.6</v>
      </c>
      <c r="J69">
        <v>23.7</v>
      </c>
      <c r="K69">
        <v>43.1</v>
      </c>
    </row>
    <row r="70" spans="1:11" hidden="1" x14ac:dyDescent="0.35">
      <c r="A70" t="s">
        <v>31</v>
      </c>
      <c r="B70" t="s">
        <v>32</v>
      </c>
      <c r="C70" t="s">
        <v>52</v>
      </c>
      <c r="D70" t="s">
        <v>33</v>
      </c>
      <c r="H70">
        <v>102</v>
      </c>
      <c r="I70">
        <v>28.1</v>
      </c>
      <c r="J70">
        <v>68.7</v>
      </c>
      <c r="K70">
        <v>163</v>
      </c>
    </row>
    <row r="71" spans="1:11" hidden="1" x14ac:dyDescent="0.35">
      <c r="A71" t="s">
        <v>54</v>
      </c>
      <c r="B71" t="s">
        <v>55</v>
      </c>
      <c r="C71" t="s">
        <v>35</v>
      </c>
      <c r="D71" t="s">
        <v>53</v>
      </c>
      <c r="H71">
        <v>940</v>
      </c>
    </row>
    <row r="72" spans="1:11" hidden="1" x14ac:dyDescent="0.35">
      <c r="A72" t="s">
        <v>54</v>
      </c>
      <c r="B72" t="s">
        <v>55</v>
      </c>
      <c r="C72" t="s">
        <v>56</v>
      </c>
      <c r="D72" t="s">
        <v>53</v>
      </c>
      <c r="H72">
        <v>114</v>
      </c>
    </row>
    <row r="73" spans="1:11" hidden="1" x14ac:dyDescent="0.35">
      <c r="A73" t="s">
        <v>54</v>
      </c>
      <c r="B73" t="s">
        <v>55</v>
      </c>
      <c r="C73" t="s">
        <v>57</v>
      </c>
      <c r="D73" t="s">
        <v>53</v>
      </c>
      <c r="H73">
        <v>159</v>
      </c>
    </row>
    <row r="74" spans="1:11" hidden="1" x14ac:dyDescent="0.35">
      <c r="A74" t="s">
        <v>54</v>
      </c>
      <c r="B74" t="s">
        <v>55</v>
      </c>
      <c r="C74" t="s">
        <v>36</v>
      </c>
      <c r="D74" t="s">
        <v>53</v>
      </c>
      <c r="H74">
        <v>248</v>
      </c>
    </row>
    <row r="75" spans="1:11" hidden="1" x14ac:dyDescent="0.35">
      <c r="A75" t="s">
        <v>54</v>
      </c>
      <c r="B75" t="s">
        <v>55</v>
      </c>
      <c r="C75" t="s">
        <v>43</v>
      </c>
      <c r="D75" t="s">
        <v>53</v>
      </c>
      <c r="H75">
        <v>151</v>
      </c>
    </row>
    <row r="76" spans="1:11" hidden="1" x14ac:dyDescent="0.35">
      <c r="A76" t="s">
        <v>54</v>
      </c>
      <c r="B76" t="s">
        <v>55</v>
      </c>
      <c r="C76" t="s">
        <v>44</v>
      </c>
      <c r="D76" t="s">
        <v>53</v>
      </c>
      <c r="H76">
        <v>348</v>
      </c>
    </row>
    <row r="77" spans="1:11" hidden="1" x14ac:dyDescent="0.35">
      <c r="A77" t="s">
        <v>54</v>
      </c>
      <c r="B77" t="s">
        <v>55</v>
      </c>
      <c r="C77" t="s">
        <v>37</v>
      </c>
      <c r="D77" t="s">
        <v>53</v>
      </c>
      <c r="H77">
        <v>966</v>
      </c>
    </row>
    <row r="78" spans="1:11" hidden="1" x14ac:dyDescent="0.35">
      <c r="A78" t="s">
        <v>54</v>
      </c>
      <c r="B78" t="s">
        <v>55</v>
      </c>
      <c r="C78" t="s">
        <v>39</v>
      </c>
      <c r="D78" t="s">
        <v>53</v>
      </c>
      <c r="H78">
        <v>159</v>
      </c>
    </row>
    <row r="79" spans="1:11" hidden="1" x14ac:dyDescent="0.35">
      <c r="A79" t="s">
        <v>54</v>
      </c>
      <c r="B79" t="s">
        <v>55</v>
      </c>
      <c r="C79" t="s">
        <v>42</v>
      </c>
      <c r="D79" t="s">
        <v>53</v>
      </c>
      <c r="H79">
        <v>37.1</v>
      </c>
    </row>
    <row r="80" spans="1:11" hidden="1" x14ac:dyDescent="0.35">
      <c r="A80" t="s">
        <v>54</v>
      </c>
      <c r="B80" t="s">
        <v>55</v>
      </c>
      <c r="C80" t="s">
        <v>58</v>
      </c>
      <c r="D80" t="s">
        <v>53</v>
      </c>
      <c r="H80">
        <v>341</v>
      </c>
    </row>
    <row r="81" spans="1:8" hidden="1" x14ac:dyDescent="0.35">
      <c r="A81" t="s">
        <v>54</v>
      </c>
      <c r="B81" t="s">
        <v>55</v>
      </c>
      <c r="C81" t="s">
        <v>51</v>
      </c>
      <c r="D81" t="s">
        <v>53</v>
      </c>
      <c r="H81">
        <v>62.2</v>
      </c>
    </row>
    <row r="82" spans="1:8" hidden="1" x14ac:dyDescent="0.35">
      <c r="A82" t="s">
        <v>54</v>
      </c>
      <c r="B82" t="s">
        <v>55</v>
      </c>
      <c r="C82" t="s">
        <v>59</v>
      </c>
      <c r="D82" t="s">
        <v>53</v>
      </c>
      <c r="H82">
        <v>4</v>
      </c>
    </row>
    <row r="83" spans="1:8" hidden="1" x14ac:dyDescent="0.35">
      <c r="A83" t="s">
        <v>54</v>
      </c>
      <c r="B83" t="s">
        <v>55</v>
      </c>
      <c r="C83" t="s">
        <v>38</v>
      </c>
      <c r="D83" t="s">
        <v>53</v>
      </c>
      <c r="H83">
        <v>1119</v>
      </c>
    </row>
    <row r="84" spans="1:8" x14ac:dyDescent="0.35">
      <c r="A84" t="s">
        <v>54</v>
      </c>
      <c r="B84" t="s">
        <v>55</v>
      </c>
      <c r="C84" t="s">
        <v>34</v>
      </c>
      <c r="D84" t="s">
        <v>53</v>
      </c>
      <c r="H84">
        <v>267</v>
      </c>
    </row>
    <row r="85" spans="1:8" hidden="1" x14ac:dyDescent="0.35">
      <c r="A85" t="s">
        <v>54</v>
      </c>
      <c r="B85" t="s">
        <v>55</v>
      </c>
      <c r="C85" t="s">
        <v>40</v>
      </c>
      <c r="D85" t="s">
        <v>53</v>
      </c>
      <c r="H85">
        <v>448</v>
      </c>
    </row>
    <row r="86" spans="1:8" hidden="1" x14ac:dyDescent="0.35">
      <c r="A86" t="s">
        <v>54</v>
      </c>
      <c r="B86" t="s">
        <v>55</v>
      </c>
      <c r="C86" t="s">
        <v>52</v>
      </c>
      <c r="D86" t="s">
        <v>53</v>
      </c>
      <c r="H86">
        <v>229</v>
      </c>
    </row>
    <row r="87" spans="1:8" hidden="1" x14ac:dyDescent="0.35">
      <c r="A87" t="s">
        <v>54</v>
      </c>
      <c r="B87" t="s">
        <v>55</v>
      </c>
      <c r="C87" t="s">
        <v>35</v>
      </c>
      <c r="D87" t="s">
        <v>53</v>
      </c>
      <c r="H87">
        <v>389</v>
      </c>
    </row>
    <row r="88" spans="1:8" hidden="1" x14ac:dyDescent="0.35">
      <c r="A88" t="s">
        <v>54</v>
      </c>
      <c r="B88" t="s">
        <v>55</v>
      </c>
      <c r="C88" t="s">
        <v>56</v>
      </c>
      <c r="D88" t="s">
        <v>53</v>
      </c>
      <c r="H88">
        <v>89.5</v>
      </c>
    </row>
    <row r="89" spans="1:8" hidden="1" x14ac:dyDescent="0.35">
      <c r="A89" t="s">
        <v>54</v>
      </c>
      <c r="B89" t="s">
        <v>55</v>
      </c>
      <c r="C89" t="s">
        <v>57</v>
      </c>
      <c r="D89" t="s">
        <v>53</v>
      </c>
      <c r="H89">
        <v>124</v>
      </c>
    </row>
    <row r="90" spans="1:8" hidden="1" x14ac:dyDescent="0.35">
      <c r="A90" t="s">
        <v>54</v>
      </c>
      <c r="B90" t="s">
        <v>55</v>
      </c>
      <c r="C90" t="s">
        <v>36</v>
      </c>
      <c r="D90" t="s">
        <v>53</v>
      </c>
      <c r="H90">
        <v>138</v>
      </c>
    </row>
    <row r="91" spans="1:8" hidden="1" x14ac:dyDescent="0.35">
      <c r="A91" t="s">
        <v>54</v>
      </c>
      <c r="B91" t="s">
        <v>55</v>
      </c>
      <c r="C91" t="s">
        <v>43</v>
      </c>
      <c r="D91" t="s">
        <v>53</v>
      </c>
      <c r="H91">
        <v>160</v>
      </c>
    </row>
    <row r="92" spans="1:8" hidden="1" x14ac:dyDescent="0.35">
      <c r="A92" t="s">
        <v>54</v>
      </c>
      <c r="B92" t="s">
        <v>55</v>
      </c>
      <c r="C92" t="s">
        <v>44</v>
      </c>
      <c r="D92" t="s">
        <v>53</v>
      </c>
      <c r="H92">
        <v>319</v>
      </c>
    </row>
    <row r="93" spans="1:8" hidden="1" x14ac:dyDescent="0.35">
      <c r="A93" t="s">
        <v>54</v>
      </c>
      <c r="B93" t="s">
        <v>55</v>
      </c>
      <c r="C93" t="s">
        <v>37</v>
      </c>
      <c r="D93" t="s">
        <v>53</v>
      </c>
      <c r="H93">
        <v>711</v>
      </c>
    </row>
    <row r="94" spans="1:8" hidden="1" x14ac:dyDescent="0.35">
      <c r="A94" t="s">
        <v>54</v>
      </c>
      <c r="B94" t="s">
        <v>55</v>
      </c>
      <c r="C94" t="s">
        <v>39</v>
      </c>
      <c r="D94" t="s">
        <v>53</v>
      </c>
      <c r="H94">
        <v>618</v>
      </c>
    </row>
    <row r="95" spans="1:8" hidden="1" x14ac:dyDescent="0.35">
      <c r="A95" t="s">
        <v>54</v>
      </c>
      <c r="B95" t="s">
        <v>55</v>
      </c>
      <c r="C95" t="s">
        <v>42</v>
      </c>
      <c r="D95" t="s">
        <v>53</v>
      </c>
      <c r="H95">
        <v>7</v>
      </c>
    </row>
    <row r="96" spans="1:8" hidden="1" x14ac:dyDescent="0.35">
      <c r="A96" t="s">
        <v>54</v>
      </c>
      <c r="B96" t="s">
        <v>55</v>
      </c>
      <c r="C96" t="s">
        <v>58</v>
      </c>
      <c r="D96" t="s">
        <v>53</v>
      </c>
      <c r="H96">
        <v>22.7</v>
      </c>
    </row>
    <row r="97" spans="1:8" hidden="1" x14ac:dyDescent="0.35">
      <c r="A97" t="s">
        <v>54</v>
      </c>
      <c r="B97" t="s">
        <v>55</v>
      </c>
      <c r="C97" t="s">
        <v>51</v>
      </c>
      <c r="D97" t="s">
        <v>53</v>
      </c>
      <c r="H97">
        <v>14</v>
      </c>
    </row>
    <row r="98" spans="1:8" hidden="1" x14ac:dyDescent="0.35">
      <c r="A98" t="s">
        <v>54</v>
      </c>
      <c r="B98" t="s">
        <v>55</v>
      </c>
      <c r="C98" t="s">
        <v>59</v>
      </c>
      <c r="D98" t="s">
        <v>53</v>
      </c>
      <c r="H98">
        <v>4.9000000000000004</v>
      </c>
    </row>
    <row r="99" spans="1:8" hidden="1" x14ac:dyDescent="0.35">
      <c r="A99" t="s">
        <v>54</v>
      </c>
      <c r="B99" t="s">
        <v>55</v>
      </c>
      <c r="C99" t="s">
        <v>38</v>
      </c>
      <c r="D99" t="s">
        <v>53</v>
      </c>
      <c r="H99">
        <v>599</v>
      </c>
    </row>
    <row r="100" spans="1:8" x14ac:dyDescent="0.35">
      <c r="A100" t="s">
        <v>54</v>
      </c>
      <c r="B100" t="s">
        <v>55</v>
      </c>
      <c r="C100" t="s">
        <v>34</v>
      </c>
      <c r="D100" t="s">
        <v>53</v>
      </c>
      <c r="H100">
        <v>237</v>
      </c>
    </row>
    <row r="101" spans="1:8" hidden="1" x14ac:dyDescent="0.35">
      <c r="A101" t="s">
        <v>54</v>
      </c>
      <c r="B101" t="s">
        <v>55</v>
      </c>
      <c r="C101" t="s">
        <v>40</v>
      </c>
      <c r="D101" t="s">
        <v>53</v>
      </c>
      <c r="H101">
        <v>327</v>
      </c>
    </row>
    <row r="102" spans="1:8" hidden="1" x14ac:dyDescent="0.35">
      <c r="A102" t="s">
        <v>54</v>
      </c>
      <c r="B102" t="s">
        <v>55</v>
      </c>
      <c r="C102" t="s">
        <v>52</v>
      </c>
      <c r="D102" t="s">
        <v>53</v>
      </c>
      <c r="H102">
        <v>141</v>
      </c>
    </row>
    <row r="103" spans="1:8" hidden="1" x14ac:dyDescent="0.35">
      <c r="A103" t="s">
        <v>54</v>
      </c>
      <c r="B103" t="s">
        <v>55</v>
      </c>
      <c r="C103" t="s">
        <v>35</v>
      </c>
      <c r="D103" t="s">
        <v>53</v>
      </c>
      <c r="H103">
        <v>403</v>
      </c>
    </row>
    <row r="104" spans="1:8" hidden="1" x14ac:dyDescent="0.35">
      <c r="A104" t="s">
        <v>54</v>
      </c>
      <c r="B104" t="s">
        <v>55</v>
      </c>
      <c r="C104" t="s">
        <v>56</v>
      </c>
      <c r="D104" t="s">
        <v>53</v>
      </c>
    </row>
    <row r="105" spans="1:8" hidden="1" x14ac:dyDescent="0.35">
      <c r="A105" t="s">
        <v>54</v>
      </c>
      <c r="B105" t="s">
        <v>55</v>
      </c>
      <c r="C105" t="s">
        <v>57</v>
      </c>
      <c r="D105" t="s">
        <v>53</v>
      </c>
    </row>
    <row r="106" spans="1:8" hidden="1" x14ac:dyDescent="0.35">
      <c r="A106" t="s">
        <v>54</v>
      </c>
      <c r="B106" t="s">
        <v>55</v>
      </c>
      <c r="C106" t="s">
        <v>36</v>
      </c>
      <c r="D106" t="s">
        <v>53</v>
      </c>
      <c r="H106">
        <v>222</v>
      </c>
    </row>
    <row r="107" spans="1:8" hidden="1" x14ac:dyDescent="0.35">
      <c r="A107" t="s">
        <v>54</v>
      </c>
      <c r="B107" t="s">
        <v>55</v>
      </c>
      <c r="C107" t="s">
        <v>43</v>
      </c>
      <c r="D107" t="s">
        <v>53</v>
      </c>
      <c r="H107">
        <v>140</v>
      </c>
    </row>
    <row r="108" spans="1:8" hidden="1" x14ac:dyDescent="0.35">
      <c r="A108" t="s">
        <v>54</v>
      </c>
      <c r="B108" t="s">
        <v>55</v>
      </c>
      <c r="C108" t="s">
        <v>44</v>
      </c>
      <c r="D108" t="s">
        <v>53</v>
      </c>
      <c r="H108">
        <v>234</v>
      </c>
    </row>
    <row r="109" spans="1:8" hidden="1" x14ac:dyDescent="0.35">
      <c r="A109" t="s">
        <v>54</v>
      </c>
      <c r="B109" t="s">
        <v>55</v>
      </c>
      <c r="C109" t="s">
        <v>37</v>
      </c>
      <c r="D109" t="s">
        <v>53</v>
      </c>
      <c r="H109">
        <v>351</v>
      </c>
    </row>
    <row r="110" spans="1:8" hidden="1" x14ac:dyDescent="0.35">
      <c r="A110" t="s">
        <v>54</v>
      </c>
      <c r="B110" t="s">
        <v>55</v>
      </c>
      <c r="C110" t="s">
        <v>39</v>
      </c>
      <c r="D110" t="s">
        <v>53</v>
      </c>
      <c r="H110">
        <v>359</v>
      </c>
    </row>
    <row r="111" spans="1:8" hidden="1" x14ac:dyDescent="0.35">
      <c r="A111" t="s">
        <v>54</v>
      </c>
      <c r="B111" t="s">
        <v>55</v>
      </c>
      <c r="C111" t="s">
        <v>42</v>
      </c>
      <c r="D111" t="s">
        <v>53</v>
      </c>
      <c r="H111">
        <v>33.700000000000003</v>
      </c>
    </row>
    <row r="112" spans="1:8" hidden="1" x14ac:dyDescent="0.35">
      <c r="A112" t="s">
        <v>54</v>
      </c>
      <c r="B112" t="s">
        <v>55</v>
      </c>
      <c r="C112" t="s">
        <v>58</v>
      </c>
      <c r="D112" t="s">
        <v>53</v>
      </c>
      <c r="H112">
        <v>18.2</v>
      </c>
    </row>
    <row r="113" spans="1:12" hidden="1" x14ac:dyDescent="0.35">
      <c r="A113" t="s">
        <v>54</v>
      </c>
      <c r="B113" t="s">
        <v>55</v>
      </c>
      <c r="C113" t="s">
        <v>51</v>
      </c>
      <c r="D113" t="s">
        <v>53</v>
      </c>
      <c r="H113">
        <v>59</v>
      </c>
    </row>
    <row r="114" spans="1:12" hidden="1" x14ac:dyDescent="0.35">
      <c r="A114" t="s">
        <v>54</v>
      </c>
      <c r="B114" t="s">
        <v>55</v>
      </c>
      <c r="C114" t="s">
        <v>59</v>
      </c>
      <c r="D114" t="s">
        <v>53</v>
      </c>
      <c r="H114">
        <v>35.5</v>
      </c>
    </row>
    <row r="115" spans="1:12" hidden="1" x14ac:dyDescent="0.35">
      <c r="A115" t="s">
        <v>54</v>
      </c>
      <c r="B115" t="s">
        <v>55</v>
      </c>
      <c r="C115" t="s">
        <v>38</v>
      </c>
      <c r="D115" t="s">
        <v>53</v>
      </c>
      <c r="H115">
        <v>497</v>
      </c>
    </row>
    <row r="116" spans="1:12" x14ac:dyDescent="0.35">
      <c r="A116" t="s">
        <v>54</v>
      </c>
      <c r="B116" t="s">
        <v>55</v>
      </c>
      <c r="C116" t="s">
        <v>34</v>
      </c>
      <c r="D116" t="s">
        <v>53</v>
      </c>
      <c r="H116">
        <v>146</v>
      </c>
    </row>
    <row r="117" spans="1:12" hidden="1" x14ac:dyDescent="0.35">
      <c r="A117" t="s">
        <v>54</v>
      </c>
      <c r="B117" t="s">
        <v>55</v>
      </c>
      <c r="C117" t="s">
        <v>40</v>
      </c>
      <c r="D117" t="s">
        <v>53</v>
      </c>
      <c r="H117">
        <v>178</v>
      </c>
    </row>
    <row r="118" spans="1:12" hidden="1" x14ac:dyDescent="0.35">
      <c r="A118" t="s">
        <v>54</v>
      </c>
      <c r="B118" t="s">
        <v>55</v>
      </c>
      <c r="C118" t="s">
        <v>52</v>
      </c>
      <c r="D118" t="s">
        <v>53</v>
      </c>
      <c r="H118">
        <v>229</v>
      </c>
    </row>
    <row r="119" spans="1:12" hidden="1" x14ac:dyDescent="0.35">
      <c r="A119" t="s">
        <v>31</v>
      </c>
      <c r="B119" t="s">
        <v>66</v>
      </c>
      <c r="C119" t="s">
        <v>34</v>
      </c>
      <c r="D119" t="s">
        <v>60</v>
      </c>
      <c r="G119">
        <v>620</v>
      </c>
      <c r="H119">
        <f>G119*0.2</f>
        <v>124</v>
      </c>
      <c r="I119">
        <f>40*0.2</f>
        <v>8</v>
      </c>
      <c r="J119">
        <f>570*0.2</f>
        <v>114</v>
      </c>
      <c r="K119">
        <f>660*0.2</f>
        <v>132</v>
      </c>
      <c r="L119">
        <v>80</v>
      </c>
    </row>
    <row r="120" spans="1:12" hidden="1" x14ac:dyDescent="0.35">
      <c r="A120" t="s">
        <v>31</v>
      </c>
      <c r="B120" t="s">
        <v>66</v>
      </c>
      <c r="C120" t="s">
        <v>35</v>
      </c>
      <c r="D120" t="s">
        <v>60</v>
      </c>
      <c r="G120">
        <v>1310</v>
      </c>
      <c r="H120">
        <f>G120*0.2</f>
        <v>262</v>
      </c>
      <c r="I120">
        <f>130*0.2</f>
        <v>26</v>
      </c>
      <c r="J120">
        <f>1170*0.2</f>
        <v>234</v>
      </c>
      <c r="K120">
        <f>1500*0.2</f>
        <v>300</v>
      </c>
      <c r="L120">
        <v>80</v>
      </c>
    </row>
    <row r="121" spans="1:12" hidden="1" x14ac:dyDescent="0.35">
      <c r="A121" t="s">
        <v>31</v>
      </c>
      <c r="B121" t="s">
        <v>32</v>
      </c>
      <c r="C121" t="s">
        <v>34</v>
      </c>
      <c r="D121" t="s">
        <v>60</v>
      </c>
      <c r="G121">
        <v>720</v>
      </c>
      <c r="H121">
        <f>720*0.2</f>
        <v>144</v>
      </c>
      <c r="I121">
        <f>170*0.2</f>
        <v>34</v>
      </c>
      <c r="J121">
        <f>370*0.2</f>
        <v>74</v>
      </c>
      <c r="K121">
        <f>960*0.2</f>
        <v>192</v>
      </c>
      <c r="L121">
        <v>80</v>
      </c>
    </row>
    <row r="122" spans="1:12" hidden="1" x14ac:dyDescent="0.35">
      <c r="A122" t="s">
        <v>31</v>
      </c>
      <c r="B122" t="s">
        <v>32</v>
      </c>
      <c r="C122" t="s">
        <v>35</v>
      </c>
      <c r="D122" t="s">
        <v>60</v>
      </c>
      <c r="G122">
        <v>2660</v>
      </c>
      <c r="H122">
        <f t="shared" ref="H122:H133" si="2">G122*0.2</f>
        <v>532</v>
      </c>
      <c r="I122">
        <f>100*0.2</f>
        <v>20</v>
      </c>
      <c r="J122">
        <f>2400*0.2</f>
        <v>480</v>
      </c>
      <c r="K122">
        <f>2720*0.2</f>
        <v>544</v>
      </c>
      <c r="L122">
        <v>80</v>
      </c>
    </row>
    <row r="123" spans="1:12" hidden="1" x14ac:dyDescent="0.35">
      <c r="A123" t="s">
        <v>31</v>
      </c>
      <c r="B123" t="s">
        <v>61</v>
      </c>
      <c r="C123" t="s">
        <v>34</v>
      </c>
      <c r="D123" t="s">
        <v>60</v>
      </c>
      <c r="G123">
        <f>780</f>
        <v>780</v>
      </c>
      <c r="H123">
        <f t="shared" si="2"/>
        <v>156</v>
      </c>
      <c r="I123">
        <f>90*0.2</f>
        <v>18</v>
      </c>
      <c r="J123">
        <f>650*0.2</f>
        <v>130</v>
      </c>
      <c r="K123">
        <f>870*0.2</f>
        <v>174</v>
      </c>
      <c r="L123">
        <v>80</v>
      </c>
    </row>
    <row r="124" spans="1:12" hidden="1" x14ac:dyDescent="0.35">
      <c r="A124" t="s">
        <v>31</v>
      </c>
      <c r="B124" t="s">
        <v>61</v>
      </c>
      <c r="C124" t="s">
        <v>35</v>
      </c>
      <c r="D124" t="s">
        <v>60</v>
      </c>
      <c r="G124">
        <f>1880</f>
        <v>1880</v>
      </c>
      <c r="H124">
        <f t="shared" si="2"/>
        <v>376</v>
      </c>
      <c r="I124">
        <f>110*0.2</f>
        <v>22</v>
      </c>
      <c r="J124">
        <f>1740*0.2</f>
        <v>348</v>
      </c>
      <c r="K124">
        <f>2010*0.2</f>
        <v>402</v>
      </c>
      <c r="L124">
        <v>80</v>
      </c>
    </row>
    <row r="125" spans="1:12" x14ac:dyDescent="0.35">
      <c r="A125" t="s">
        <v>54</v>
      </c>
      <c r="B125" t="s">
        <v>62</v>
      </c>
      <c r="C125" t="s">
        <v>34</v>
      </c>
      <c r="D125" t="s">
        <v>63</v>
      </c>
      <c r="G125">
        <v>570</v>
      </c>
      <c r="H125">
        <f t="shared" si="2"/>
        <v>114</v>
      </c>
      <c r="I125">
        <f>90*0.2</f>
        <v>18</v>
      </c>
      <c r="J125">
        <f>300*0.2</f>
        <v>60</v>
      </c>
      <c r="K125">
        <f>700*0.2</f>
        <v>140</v>
      </c>
      <c r="L125">
        <v>80</v>
      </c>
    </row>
    <row r="126" spans="1:12" hidden="1" x14ac:dyDescent="0.35">
      <c r="A126" t="s">
        <v>54</v>
      </c>
      <c r="B126" t="s">
        <v>62</v>
      </c>
      <c r="C126" t="s">
        <v>35</v>
      </c>
      <c r="D126" t="s">
        <v>63</v>
      </c>
      <c r="G126">
        <v>12600</v>
      </c>
      <c r="H126">
        <f t="shared" si="2"/>
        <v>2520</v>
      </c>
      <c r="I126">
        <f>8000*0.2</f>
        <v>1600</v>
      </c>
      <c r="J126">
        <f>3000*0.2</f>
        <v>600</v>
      </c>
      <c r="K126">
        <f>28000*0.2</f>
        <v>5600</v>
      </c>
      <c r="L126">
        <v>80</v>
      </c>
    </row>
    <row r="127" spans="1:12" hidden="1" x14ac:dyDescent="0.35">
      <c r="A127" t="s">
        <v>54</v>
      </c>
      <c r="B127" t="s">
        <v>62</v>
      </c>
      <c r="C127" t="s">
        <v>39</v>
      </c>
      <c r="D127" t="s">
        <v>63</v>
      </c>
      <c r="G127">
        <v>460</v>
      </c>
      <c r="H127">
        <f t="shared" si="2"/>
        <v>92</v>
      </c>
      <c r="I127">
        <f>100*0.2</f>
        <v>20</v>
      </c>
      <c r="J127">
        <f>300*0.2</f>
        <v>60</v>
      </c>
      <c r="K127">
        <f>690*0.2</f>
        <v>138</v>
      </c>
      <c r="L127">
        <v>80</v>
      </c>
    </row>
    <row r="128" spans="1:12" x14ac:dyDescent="0.35">
      <c r="A128" t="s">
        <v>54</v>
      </c>
      <c r="B128" t="s">
        <v>64</v>
      </c>
      <c r="C128" t="s">
        <v>34</v>
      </c>
      <c r="D128" t="s">
        <v>63</v>
      </c>
      <c r="G128">
        <v>690</v>
      </c>
      <c r="H128">
        <f t="shared" si="2"/>
        <v>138</v>
      </c>
      <c r="I128">
        <f>80*0.2</f>
        <v>16</v>
      </c>
      <c r="J128">
        <f>570*0.2</f>
        <v>114</v>
      </c>
      <c r="K128">
        <f>850*0.2</f>
        <v>170</v>
      </c>
      <c r="L128">
        <v>80</v>
      </c>
    </row>
    <row r="129" spans="1:12" hidden="1" x14ac:dyDescent="0.35">
      <c r="A129" t="s">
        <v>54</v>
      </c>
      <c r="B129" t="s">
        <v>64</v>
      </c>
      <c r="C129" t="s">
        <v>35</v>
      </c>
      <c r="D129" t="s">
        <v>63</v>
      </c>
      <c r="G129">
        <v>2630</v>
      </c>
      <c r="H129">
        <f t="shared" si="2"/>
        <v>526</v>
      </c>
      <c r="I129">
        <f>430*0.2</f>
        <v>86</v>
      </c>
      <c r="J129">
        <f>2100*0.2</f>
        <v>420</v>
      </c>
      <c r="K129">
        <f>3640*0.2</f>
        <v>728</v>
      </c>
      <c r="L129">
        <v>80</v>
      </c>
    </row>
    <row r="130" spans="1:12" hidden="1" x14ac:dyDescent="0.35">
      <c r="A130" t="s">
        <v>54</v>
      </c>
      <c r="B130" t="s">
        <v>64</v>
      </c>
      <c r="C130" t="s">
        <v>39</v>
      </c>
      <c r="D130" t="s">
        <v>63</v>
      </c>
      <c r="G130">
        <v>600</v>
      </c>
      <c r="H130">
        <f t="shared" si="2"/>
        <v>120</v>
      </c>
      <c r="I130">
        <f>70*0.2</f>
        <v>14</v>
      </c>
      <c r="J130">
        <f>500*0.2</f>
        <v>100</v>
      </c>
      <c r="K130">
        <f>810*0.2</f>
        <v>162</v>
      </c>
      <c r="L130">
        <v>80</v>
      </c>
    </row>
    <row r="131" spans="1:12" x14ac:dyDescent="0.35">
      <c r="A131" t="s">
        <v>54</v>
      </c>
      <c r="B131" t="s">
        <v>55</v>
      </c>
      <c r="C131" t="s">
        <v>34</v>
      </c>
      <c r="D131" t="s">
        <v>63</v>
      </c>
      <c r="G131">
        <v>1100</v>
      </c>
      <c r="H131">
        <f t="shared" si="2"/>
        <v>220</v>
      </c>
      <c r="I131">
        <f>200*0.2</f>
        <v>40</v>
      </c>
      <c r="J131">
        <f>870*0.2</f>
        <v>174</v>
      </c>
      <c r="K131">
        <f>1420*0.2</f>
        <v>284</v>
      </c>
      <c r="L131">
        <v>80</v>
      </c>
    </row>
    <row r="132" spans="1:12" hidden="1" x14ac:dyDescent="0.35">
      <c r="A132" t="s">
        <v>54</v>
      </c>
      <c r="B132" t="s">
        <v>55</v>
      </c>
      <c r="C132" t="s">
        <v>35</v>
      </c>
      <c r="D132" t="s">
        <v>63</v>
      </c>
      <c r="G132">
        <v>2220</v>
      </c>
      <c r="H132">
        <f t="shared" si="2"/>
        <v>444</v>
      </c>
      <c r="I132">
        <f>1020*0.2</f>
        <v>204</v>
      </c>
      <c r="J132">
        <f>1090*0.2</f>
        <v>218</v>
      </c>
      <c r="K132">
        <f>3570*0.2</f>
        <v>714</v>
      </c>
      <c r="L132">
        <v>80</v>
      </c>
    </row>
    <row r="133" spans="1:12" hidden="1" x14ac:dyDescent="0.35">
      <c r="A133" t="s">
        <v>54</v>
      </c>
      <c r="B133" t="s">
        <v>55</v>
      </c>
      <c r="C133" t="s">
        <v>39</v>
      </c>
      <c r="D133" t="s">
        <v>63</v>
      </c>
      <c r="G133">
        <v>440</v>
      </c>
      <c r="H133">
        <f t="shared" si="2"/>
        <v>88</v>
      </c>
      <c r="I133">
        <f>60*0.2</f>
        <v>12</v>
      </c>
      <c r="J133">
        <f>330*0.2</f>
        <v>66</v>
      </c>
      <c r="K133">
        <f>510*0.2</f>
        <v>102</v>
      </c>
      <c r="L133">
        <v>80</v>
      </c>
    </row>
    <row r="134" spans="1:12" hidden="1" x14ac:dyDescent="0.35">
      <c r="A134" t="s">
        <v>31</v>
      </c>
      <c r="B134" t="s">
        <v>32</v>
      </c>
      <c r="C134" t="s">
        <v>35</v>
      </c>
      <c r="D134" t="s">
        <v>65</v>
      </c>
      <c r="H134">
        <v>565</v>
      </c>
      <c r="I134">
        <v>851</v>
      </c>
    </row>
    <row r="135" spans="1:12" hidden="1" x14ac:dyDescent="0.35">
      <c r="A135" t="s">
        <v>31</v>
      </c>
      <c r="B135" t="s">
        <v>32</v>
      </c>
      <c r="C135" t="s">
        <v>39</v>
      </c>
      <c r="D135" t="s">
        <v>65</v>
      </c>
      <c r="H135">
        <v>112.9</v>
      </c>
      <c r="I135">
        <v>31.7</v>
      </c>
    </row>
    <row r="136" spans="1:12" hidden="1" x14ac:dyDescent="0.35">
      <c r="A136" t="s">
        <v>31</v>
      </c>
      <c r="B136" t="s">
        <v>32</v>
      </c>
      <c r="C136" t="s">
        <v>34</v>
      </c>
      <c r="D136" t="s">
        <v>65</v>
      </c>
      <c r="H136">
        <v>68.8</v>
      </c>
      <c r="I136">
        <v>29.4</v>
      </c>
    </row>
    <row r="137" spans="1:12" hidden="1" x14ac:dyDescent="0.35">
      <c r="A137" t="s">
        <v>31</v>
      </c>
      <c r="B137" t="s">
        <v>32</v>
      </c>
      <c r="C137" t="s">
        <v>34</v>
      </c>
      <c r="D137" t="s">
        <v>65</v>
      </c>
      <c r="H137">
        <v>37.799999999999997</v>
      </c>
      <c r="I137">
        <v>9.8000000000000007</v>
      </c>
    </row>
    <row r="138" spans="1:12" hidden="1" x14ac:dyDescent="0.35">
      <c r="A138" t="s">
        <v>31</v>
      </c>
      <c r="B138" t="s">
        <v>32</v>
      </c>
      <c r="C138" t="s">
        <v>51</v>
      </c>
      <c r="D138" t="s">
        <v>65</v>
      </c>
      <c r="H138">
        <v>88.2</v>
      </c>
      <c r="I138">
        <v>56.7</v>
      </c>
    </row>
    <row r="139" spans="1:12" hidden="1" x14ac:dyDescent="0.35">
      <c r="A139" t="s">
        <v>31</v>
      </c>
      <c r="B139" t="s">
        <v>32</v>
      </c>
      <c r="C139" t="s">
        <v>41</v>
      </c>
      <c r="D139" t="s">
        <v>65</v>
      </c>
      <c r="H139">
        <v>759.1</v>
      </c>
      <c r="I139">
        <v>1627.7</v>
      </c>
    </row>
    <row r="140" spans="1:12" hidden="1" x14ac:dyDescent="0.35">
      <c r="A140" t="s">
        <v>31</v>
      </c>
      <c r="B140" t="s">
        <v>32</v>
      </c>
      <c r="C140" t="s">
        <v>35</v>
      </c>
      <c r="D140" t="s">
        <v>65</v>
      </c>
      <c r="H140">
        <v>635.1</v>
      </c>
      <c r="I140">
        <v>215.8</v>
      </c>
    </row>
    <row r="141" spans="1:12" hidden="1" x14ac:dyDescent="0.35">
      <c r="A141" t="s">
        <v>31</v>
      </c>
      <c r="B141" t="s">
        <v>32</v>
      </c>
      <c r="C141" t="s">
        <v>39</v>
      </c>
      <c r="D141" t="s">
        <v>65</v>
      </c>
      <c r="H141">
        <v>279.60000000000002</v>
      </c>
      <c r="I141">
        <v>43.9</v>
      </c>
    </row>
    <row r="142" spans="1:12" hidden="1" x14ac:dyDescent="0.35">
      <c r="A142" t="s">
        <v>31</v>
      </c>
      <c r="B142" t="s">
        <v>32</v>
      </c>
      <c r="C142" t="s">
        <v>34</v>
      </c>
      <c r="D142" t="s">
        <v>65</v>
      </c>
      <c r="H142">
        <v>298.2</v>
      </c>
      <c r="I142">
        <v>41.1</v>
      </c>
    </row>
    <row r="143" spans="1:12" hidden="1" x14ac:dyDescent="0.35">
      <c r="A143" t="s">
        <v>31</v>
      </c>
      <c r="B143" t="s">
        <v>32</v>
      </c>
      <c r="C143" t="s">
        <v>34</v>
      </c>
      <c r="D143" t="s">
        <v>65</v>
      </c>
      <c r="H143">
        <v>140.4</v>
      </c>
      <c r="I143">
        <v>21.9</v>
      </c>
    </row>
    <row r="144" spans="1:12" hidden="1" x14ac:dyDescent="0.35">
      <c r="A144" t="s">
        <v>31</v>
      </c>
      <c r="B144" t="s">
        <v>32</v>
      </c>
      <c r="C144" t="s">
        <v>51</v>
      </c>
      <c r="D144" t="s">
        <v>65</v>
      </c>
      <c r="H144">
        <v>107.3</v>
      </c>
      <c r="I144">
        <v>49.4</v>
      </c>
    </row>
    <row r="145" spans="1:12" hidden="1" x14ac:dyDescent="0.35">
      <c r="A145" t="s">
        <v>31</v>
      </c>
      <c r="B145" t="s">
        <v>32</v>
      </c>
      <c r="C145" t="s">
        <v>41</v>
      </c>
      <c r="D145" t="s">
        <v>65</v>
      </c>
      <c r="H145">
        <v>44.3</v>
      </c>
      <c r="I145">
        <v>19.899999999999999</v>
      </c>
    </row>
    <row r="146" spans="1:12" hidden="1" x14ac:dyDescent="0.35">
      <c r="A146" t="s">
        <v>31</v>
      </c>
      <c r="B146" t="s">
        <v>66</v>
      </c>
      <c r="C146" t="s">
        <v>41</v>
      </c>
      <c r="D146" t="s">
        <v>67</v>
      </c>
      <c r="G146">
        <v>77.599999999999994</v>
      </c>
      <c r="H146">
        <f>G146*0.2</f>
        <v>15.52</v>
      </c>
      <c r="I146">
        <f>134.55*0.2</f>
        <v>26.910000000000004</v>
      </c>
      <c r="L146">
        <v>80</v>
      </c>
    </row>
    <row r="147" spans="1:12" hidden="1" x14ac:dyDescent="0.35">
      <c r="A147" t="s">
        <v>31</v>
      </c>
      <c r="B147" t="s">
        <v>66</v>
      </c>
      <c r="C147" t="s">
        <v>41</v>
      </c>
      <c r="D147" t="s">
        <v>67</v>
      </c>
      <c r="G147">
        <v>35.130000000000003</v>
      </c>
      <c r="H147">
        <f>G147*0.2</f>
        <v>7.0260000000000007</v>
      </c>
      <c r="I147">
        <f>37.91*0.2</f>
        <v>7.5819999999999999</v>
      </c>
      <c r="L147">
        <v>80</v>
      </c>
    </row>
    <row r="148" spans="1:12" hidden="1" x14ac:dyDescent="0.35">
      <c r="A148" t="s">
        <v>31</v>
      </c>
      <c r="B148" t="s">
        <v>66</v>
      </c>
      <c r="C148" t="s">
        <v>41</v>
      </c>
      <c r="D148" t="s">
        <v>67</v>
      </c>
      <c r="G148">
        <v>69.45</v>
      </c>
      <c r="H148">
        <f t="shared" ref="H148:H196" si="3">G148*0.2</f>
        <v>13.89</v>
      </c>
      <c r="I148">
        <f>109.94*0.2</f>
        <v>21.988</v>
      </c>
      <c r="L148">
        <v>80</v>
      </c>
    </row>
    <row r="149" spans="1:12" hidden="1" x14ac:dyDescent="0.35">
      <c r="A149" t="s">
        <v>31</v>
      </c>
      <c r="B149" t="s">
        <v>66</v>
      </c>
      <c r="C149" t="s">
        <v>41</v>
      </c>
      <c r="D149" t="s">
        <v>67</v>
      </c>
      <c r="G149">
        <v>39.090000000000003</v>
      </c>
      <c r="H149">
        <f t="shared" si="3"/>
        <v>7.8180000000000014</v>
      </c>
      <c r="I149">
        <f>24.33*0.2</f>
        <v>4.8659999999999997</v>
      </c>
      <c r="L149">
        <v>80</v>
      </c>
    </row>
    <row r="150" spans="1:12" hidden="1" x14ac:dyDescent="0.35">
      <c r="A150" t="s">
        <v>31</v>
      </c>
      <c r="B150" t="s">
        <v>61</v>
      </c>
      <c r="C150" t="s">
        <v>41</v>
      </c>
      <c r="D150" t="s">
        <v>67</v>
      </c>
      <c r="G150">
        <v>126.28</v>
      </c>
      <c r="H150">
        <f t="shared" si="3"/>
        <v>25.256</v>
      </c>
      <c r="I150">
        <f>103.63*0.2</f>
        <v>20.725999999999999</v>
      </c>
      <c r="L150">
        <v>80</v>
      </c>
    </row>
    <row r="151" spans="1:12" hidden="1" x14ac:dyDescent="0.35">
      <c r="A151" t="s">
        <v>31</v>
      </c>
      <c r="B151" t="s">
        <v>61</v>
      </c>
      <c r="C151" t="s">
        <v>41</v>
      </c>
      <c r="D151" t="s">
        <v>67</v>
      </c>
      <c r="G151">
        <v>32.06</v>
      </c>
      <c r="H151">
        <f t="shared" si="3"/>
        <v>6.4120000000000008</v>
      </c>
      <c r="I151">
        <f>13.8*0.2</f>
        <v>2.7600000000000002</v>
      </c>
      <c r="L151">
        <v>80</v>
      </c>
    </row>
    <row r="152" spans="1:12" hidden="1" x14ac:dyDescent="0.35">
      <c r="A152" t="s">
        <v>31</v>
      </c>
      <c r="B152" t="s">
        <v>61</v>
      </c>
      <c r="C152" t="s">
        <v>41</v>
      </c>
      <c r="D152" t="s">
        <v>67</v>
      </c>
      <c r="G152">
        <v>164.26</v>
      </c>
      <c r="H152">
        <f t="shared" si="3"/>
        <v>32.851999999999997</v>
      </c>
      <c r="I152">
        <f>149.75*0.2</f>
        <v>29.950000000000003</v>
      </c>
      <c r="L152">
        <v>80</v>
      </c>
    </row>
    <row r="153" spans="1:12" hidden="1" x14ac:dyDescent="0.35">
      <c r="A153" t="s">
        <v>31</v>
      </c>
      <c r="B153" t="s">
        <v>61</v>
      </c>
      <c r="C153" t="s">
        <v>41</v>
      </c>
      <c r="D153" t="s">
        <v>67</v>
      </c>
      <c r="G153">
        <v>22.47</v>
      </c>
      <c r="H153">
        <f t="shared" si="3"/>
        <v>4.4939999999999998</v>
      </c>
      <c r="I153">
        <f>11.63*0.2</f>
        <v>2.3260000000000001</v>
      </c>
      <c r="L153">
        <v>80</v>
      </c>
    </row>
    <row r="154" spans="1:12" hidden="1" x14ac:dyDescent="0.35">
      <c r="A154" t="s">
        <v>31</v>
      </c>
      <c r="B154" t="s">
        <v>32</v>
      </c>
      <c r="C154" t="s">
        <v>41</v>
      </c>
      <c r="D154" t="s">
        <v>67</v>
      </c>
      <c r="G154">
        <v>59.74</v>
      </c>
      <c r="H154">
        <f t="shared" si="3"/>
        <v>11.948</v>
      </c>
      <c r="I154">
        <f>45.26*0.2</f>
        <v>9.0519999999999996</v>
      </c>
      <c r="L154">
        <v>80</v>
      </c>
    </row>
    <row r="155" spans="1:12" hidden="1" x14ac:dyDescent="0.35">
      <c r="A155" t="s">
        <v>31</v>
      </c>
      <c r="B155" t="s">
        <v>32</v>
      </c>
      <c r="C155" t="s">
        <v>41</v>
      </c>
      <c r="D155" t="s">
        <v>67</v>
      </c>
      <c r="G155">
        <v>23.37</v>
      </c>
      <c r="H155">
        <f t="shared" si="3"/>
        <v>4.6740000000000004</v>
      </c>
      <c r="I155">
        <f>11.25*0.2</f>
        <v>2.25</v>
      </c>
      <c r="L155">
        <v>80</v>
      </c>
    </row>
    <row r="156" spans="1:12" hidden="1" x14ac:dyDescent="0.35">
      <c r="A156" t="s">
        <v>31</v>
      </c>
      <c r="B156" t="s">
        <v>32</v>
      </c>
      <c r="C156" t="s">
        <v>41</v>
      </c>
      <c r="D156" t="s">
        <v>67</v>
      </c>
      <c r="G156">
        <v>27.98</v>
      </c>
      <c r="H156">
        <f t="shared" si="3"/>
        <v>5.5960000000000001</v>
      </c>
      <c r="I156">
        <f>41.2*0.2</f>
        <v>8.24</v>
      </c>
      <c r="L156">
        <v>80</v>
      </c>
    </row>
    <row r="157" spans="1:12" hidden="1" x14ac:dyDescent="0.35">
      <c r="A157" t="s">
        <v>31</v>
      </c>
      <c r="B157" t="s">
        <v>66</v>
      </c>
      <c r="C157" t="s">
        <v>35</v>
      </c>
      <c r="D157" t="s">
        <v>68</v>
      </c>
      <c r="G157">
        <v>2869.46</v>
      </c>
      <c r="H157">
        <f t="shared" si="3"/>
        <v>573.89200000000005</v>
      </c>
      <c r="I157">
        <f>0.2*3051.88</f>
        <v>610.37600000000009</v>
      </c>
      <c r="L157">
        <v>80</v>
      </c>
    </row>
    <row r="158" spans="1:12" hidden="1" x14ac:dyDescent="0.35">
      <c r="A158" t="s">
        <v>31</v>
      </c>
      <c r="B158" t="s">
        <v>61</v>
      </c>
      <c r="C158" t="s">
        <v>35</v>
      </c>
      <c r="D158" t="s">
        <v>68</v>
      </c>
      <c r="G158">
        <v>4002.21</v>
      </c>
      <c r="H158">
        <f t="shared" si="3"/>
        <v>800.44200000000001</v>
      </c>
      <c r="I158">
        <f>0.2*2744.67</f>
        <v>548.93400000000008</v>
      </c>
      <c r="L158">
        <v>80</v>
      </c>
    </row>
    <row r="159" spans="1:12" hidden="1" x14ac:dyDescent="0.35">
      <c r="A159" t="s">
        <v>31</v>
      </c>
      <c r="B159" t="s">
        <v>32</v>
      </c>
      <c r="C159" t="s">
        <v>35</v>
      </c>
      <c r="D159" t="s">
        <v>68</v>
      </c>
      <c r="G159">
        <v>2040.44</v>
      </c>
      <c r="H159">
        <f t="shared" si="3"/>
        <v>408.08800000000002</v>
      </c>
      <c r="L159">
        <v>80</v>
      </c>
    </row>
    <row r="160" spans="1:12" hidden="1" x14ac:dyDescent="0.35">
      <c r="A160" t="s">
        <v>31</v>
      </c>
      <c r="B160" t="s">
        <v>61</v>
      </c>
      <c r="C160" t="s">
        <v>35</v>
      </c>
      <c r="D160" t="s">
        <v>68</v>
      </c>
      <c r="G160">
        <v>1820.42</v>
      </c>
      <c r="H160">
        <f t="shared" si="3"/>
        <v>364.08400000000006</v>
      </c>
      <c r="I160">
        <f>352.46*0.2</f>
        <v>70.492000000000004</v>
      </c>
      <c r="L160">
        <v>80</v>
      </c>
    </row>
    <row r="161" spans="1:12" hidden="1" x14ac:dyDescent="0.35">
      <c r="A161" t="s">
        <v>31</v>
      </c>
      <c r="B161" t="s">
        <v>32</v>
      </c>
      <c r="C161" t="s">
        <v>35</v>
      </c>
      <c r="D161" t="s">
        <v>68</v>
      </c>
      <c r="G161">
        <v>1405.87</v>
      </c>
      <c r="H161">
        <f t="shared" si="3"/>
        <v>281.17399999999998</v>
      </c>
      <c r="I161">
        <f>822.8*0.2</f>
        <v>164.56</v>
      </c>
      <c r="L161">
        <v>80</v>
      </c>
    </row>
    <row r="162" spans="1:12" hidden="1" x14ac:dyDescent="0.35">
      <c r="A162" t="s">
        <v>31</v>
      </c>
      <c r="B162" t="s">
        <v>66</v>
      </c>
      <c r="C162" t="s">
        <v>39</v>
      </c>
      <c r="D162" t="s">
        <v>68</v>
      </c>
      <c r="G162">
        <v>824.59</v>
      </c>
      <c r="H162">
        <f t="shared" si="3"/>
        <v>164.91800000000001</v>
      </c>
      <c r="I162">
        <f>275.66*0.2</f>
        <v>55.132000000000005</v>
      </c>
      <c r="L162">
        <v>80</v>
      </c>
    </row>
    <row r="163" spans="1:12" hidden="1" x14ac:dyDescent="0.35">
      <c r="A163" t="s">
        <v>31</v>
      </c>
      <c r="B163" t="s">
        <v>61</v>
      </c>
      <c r="C163" t="s">
        <v>39</v>
      </c>
      <c r="D163" t="s">
        <v>68</v>
      </c>
      <c r="G163">
        <v>362.83</v>
      </c>
      <c r="H163">
        <f t="shared" si="3"/>
        <v>72.566000000000003</v>
      </c>
      <c r="I163">
        <f>75.61*0.2</f>
        <v>15.122</v>
      </c>
      <c r="L163">
        <v>80</v>
      </c>
    </row>
    <row r="164" spans="1:12" hidden="1" x14ac:dyDescent="0.35">
      <c r="A164" t="s">
        <v>31</v>
      </c>
      <c r="B164" t="s">
        <v>32</v>
      </c>
      <c r="C164" t="s">
        <v>39</v>
      </c>
      <c r="D164" t="s">
        <v>68</v>
      </c>
      <c r="G164">
        <v>531.94000000000005</v>
      </c>
      <c r="H164">
        <f t="shared" si="3"/>
        <v>106.38800000000002</v>
      </c>
      <c r="L164">
        <v>80</v>
      </c>
    </row>
    <row r="165" spans="1:12" hidden="1" x14ac:dyDescent="0.35">
      <c r="A165" t="s">
        <v>31</v>
      </c>
      <c r="B165" t="s">
        <v>61</v>
      </c>
      <c r="C165" t="s">
        <v>39</v>
      </c>
      <c r="D165" t="s">
        <v>68</v>
      </c>
      <c r="G165">
        <v>669.58</v>
      </c>
      <c r="H165">
        <f t="shared" si="3"/>
        <v>133.91600000000003</v>
      </c>
      <c r="I165">
        <f>224.13*0.2</f>
        <v>44.826000000000001</v>
      </c>
      <c r="L165">
        <v>80</v>
      </c>
    </row>
    <row r="166" spans="1:12" hidden="1" x14ac:dyDescent="0.35">
      <c r="A166" t="s">
        <v>31</v>
      </c>
      <c r="B166" t="s">
        <v>32</v>
      </c>
      <c r="C166" t="s">
        <v>39</v>
      </c>
      <c r="D166" t="s">
        <v>68</v>
      </c>
      <c r="G166">
        <v>625.69000000000005</v>
      </c>
      <c r="H166">
        <f t="shared" si="3"/>
        <v>125.13800000000002</v>
      </c>
      <c r="I166">
        <f>6.36*0.2</f>
        <v>1.2720000000000002</v>
      </c>
      <c r="L166">
        <v>80</v>
      </c>
    </row>
    <row r="167" spans="1:12" hidden="1" x14ac:dyDescent="0.35">
      <c r="A167" t="s">
        <v>31</v>
      </c>
      <c r="B167" t="s">
        <v>66</v>
      </c>
      <c r="C167" t="s">
        <v>34</v>
      </c>
      <c r="D167" t="s">
        <v>68</v>
      </c>
      <c r="G167">
        <v>486.14</v>
      </c>
      <c r="H167">
        <f t="shared" si="3"/>
        <v>97.228000000000009</v>
      </c>
      <c r="I167">
        <f>209.63*0.2</f>
        <v>41.926000000000002</v>
      </c>
      <c r="L167">
        <v>80</v>
      </c>
    </row>
    <row r="168" spans="1:12" hidden="1" x14ac:dyDescent="0.35">
      <c r="A168" t="s">
        <v>31</v>
      </c>
      <c r="B168" t="s">
        <v>61</v>
      </c>
      <c r="C168" t="s">
        <v>34</v>
      </c>
      <c r="D168" t="s">
        <v>68</v>
      </c>
      <c r="G168">
        <v>220.16</v>
      </c>
      <c r="H168">
        <f t="shared" si="3"/>
        <v>44.032000000000004</v>
      </c>
      <c r="I168">
        <f>62.04*0.2</f>
        <v>12.408000000000001</v>
      </c>
      <c r="L168">
        <v>80</v>
      </c>
    </row>
    <row r="169" spans="1:12" hidden="1" x14ac:dyDescent="0.35">
      <c r="A169" t="s">
        <v>31</v>
      </c>
      <c r="B169" t="s">
        <v>32</v>
      </c>
      <c r="C169" t="s">
        <v>34</v>
      </c>
      <c r="D169" t="s">
        <v>68</v>
      </c>
      <c r="G169">
        <v>423.43</v>
      </c>
      <c r="H169">
        <f t="shared" si="3"/>
        <v>84.686000000000007</v>
      </c>
      <c r="L169">
        <v>80</v>
      </c>
    </row>
    <row r="170" spans="1:12" hidden="1" x14ac:dyDescent="0.35">
      <c r="A170" t="s">
        <v>31</v>
      </c>
      <c r="B170" t="s">
        <v>61</v>
      </c>
      <c r="C170" t="s">
        <v>34</v>
      </c>
      <c r="D170" t="s">
        <v>68</v>
      </c>
      <c r="G170">
        <v>480.71</v>
      </c>
      <c r="H170">
        <f t="shared" si="3"/>
        <v>96.141999999999996</v>
      </c>
      <c r="I170">
        <f>112.7*0.2</f>
        <v>22.540000000000003</v>
      </c>
      <c r="L170">
        <v>80</v>
      </c>
    </row>
    <row r="171" spans="1:12" hidden="1" x14ac:dyDescent="0.35">
      <c r="A171" t="s">
        <v>31</v>
      </c>
      <c r="B171" t="s">
        <v>32</v>
      </c>
      <c r="C171" t="s">
        <v>34</v>
      </c>
      <c r="D171" t="s">
        <v>68</v>
      </c>
      <c r="G171">
        <v>595.83000000000004</v>
      </c>
      <c r="H171">
        <f t="shared" si="3"/>
        <v>119.16600000000001</v>
      </c>
      <c r="I171">
        <f>264.46*0.2</f>
        <v>52.891999999999996</v>
      </c>
      <c r="L171">
        <v>80</v>
      </c>
    </row>
    <row r="172" spans="1:12" hidden="1" x14ac:dyDescent="0.35">
      <c r="A172" t="s">
        <v>31</v>
      </c>
      <c r="B172" t="s">
        <v>66</v>
      </c>
      <c r="C172" t="s">
        <v>40</v>
      </c>
      <c r="D172" t="s">
        <v>68</v>
      </c>
      <c r="G172">
        <v>70.03</v>
      </c>
      <c r="H172">
        <f t="shared" si="3"/>
        <v>14.006</v>
      </c>
      <c r="I172">
        <f>39.96*0.2</f>
        <v>7.9920000000000009</v>
      </c>
      <c r="L172">
        <v>80</v>
      </c>
    </row>
    <row r="173" spans="1:12" hidden="1" x14ac:dyDescent="0.35">
      <c r="A173" t="s">
        <v>31</v>
      </c>
      <c r="B173" t="s">
        <v>61</v>
      </c>
      <c r="C173" t="s">
        <v>40</v>
      </c>
      <c r="D173" t="s">
        <v>68</v>
      </c>
      <c r="G173">
        <v>44.08</v>
      </c>
      <c r="H173">
        <f t="shared" si="3"/>
        <v>8.8160000000000007</v>
      </c>
      <c r="I173">
        <f>33.04*0.2</f>
        <v>6.6080000000000005</v>
      </c>
      <c r="L173">
        <v>80</v>
      </c>
    </row>
    <row r="174" spans="1:12" hidden="1" x14ac:dyDescent="0.35">
      <c r="A174" t="s">
        <v>31</v>
      </c>
      <c r="B174" t="s">
        <v>32</v>
      </c>
      <c r="C174" t="s">
        <v>40</v>
      </c>
      <c r="D174" t="s">
        <v>68</v>
      </c>
      <c r="G174">
        <v>44.12</v>
      </c>
      <c r="H174">
        <f t="shared" si="3"/>
        <v>8.8239999999999998</v>
      </c>
      <c r="L174">
        <v>80</v>
      </c>
    </row>
    <row r="175" spans="1:12" hidden="1" x14ac:dyDescent="0.35">
      <c r="A175" t="s">
        <v>31</v>
      </c>
      <c r="B175" t="s">
        <v>61</v>
      </c>
      <c r="C175" t="s">
        <v>40</v>
      </c>
      <c r="D175" t="s">
        <v>68</v>
      </c>
      <c r="G175">
        <v>56.06</v>
      </c>
      <c r="H175">
        <f t="shared" si="3"/>
        <v>11.212000000000002</v>
      </c>
      <c r="I175">
        <f>28.85*0.2</f>
        <v>5.7700000000000005</v>
      </c>
      <c r="L175">
        <v>80</v>
      </c>
    </row>
    <row r="176" spans="1:12" hidden="1" x14ac:dyDescent="0.35">
      <c r="A176" t="s">
        <v>31</v>
      </c>
      <c r="B176" t="s">
        <v>32</v>
      </c>
      <c r="C176" t="s">
        <v>40</v>
      </c>
      <c r="D176" t="s">
        <v>68</v>
      </c>
      <c r="G176">
        <v>12.58</v>
      </c>
      <c r="H176">
        <f t="shared" si="3"/>
        <v>2.516</v>
      </c>
      <c r="L176">
        <v>80</v>
      </c>
    </row>
    <row r="177" spans="1:12" hidden="1" x14ac:dyDescent="0.35">
      <c r="A177" t="s">
        <v>31</v>
      </c>
      <c r="B177" t="s">
        <v>66</v>
      </c>
      <c r="C177" t="s">
        <v>41</v>
      </c>
      <c r="D177" t="s">
        <v>68</v>
      </c>
      <c r="G177">
        <v>16.61</v>
      </c>
      <c r="H177">
        <f t="shared" si="3"/>
        <v>3.3220000000000001</v>
      </c>
      <c r="I177">
        <f>0.05*0.2</f>
        <v>1.0000000000000002E-2</v>
      </c>
      <c r="L177">
        <v>80</v>
      </c>
    </row>
    <row r="178" spans="1:12" hidden="1" x14ac:dyDescent="0.35">
      <c r="A178" t="s">
        <v>31</v>
      </c>
      <c r="B178" t="s">
        <v>61</v>
      </c>
      <c r="C178" t="s">
        <v>41</v>
      </c>
      <c r="D178" t="s">
        <v>68</v>
      </c>
      <c r="G178">
        <v>29.74</v>
      </c>
      <c r="H178">
        <f t="shared" si="3"/>
        <v>5.9480000000000004</v>
      </c>
      <c r="I178">
        <f>29.14*0.2</f>
        <v>5.8280000000000003</v>
      </c>
      <c r="L178">
        <v>80</v>
      </c>
    </row>
    <row r="179" spans="1:12" hidden="1" x14ac:dyDescent="0.35">
      <c r="A179" t="s">
        <v>31</v>
      </c>
      <c r="B179" t="s">
        <v>32</v>
      </c>
      <c r="C179" t="s">
        <v>41</v>
      </c>
      <c r="D179" t="s">
        <v>68</v>
      </c>
      <c r="G179">
        <v>15.28</v>
      </c>
      <c r="H179">
        <f t="shared" si="3"/>
        <v>3.056</v>
      </c>
      <c r="L179">
        <v>80</v>
      </c>
    </row>
    <row r="180" spans="1:12" hidden="1" x14ac:dyDescent="0.35">
      <c r="A180" t="s">
        <v>31</v>
      </c>
      <c r="B180" t="s">
        <v>61</v>
      </c>
      <c r="C180" t="s">
        <v>41</v>
      </c>
      <c r="D180" t="s">
        <v>68</v>
      </c>
      <c r="G180">
        <v>20.22</v>
      </c>
      <c r="H180">
        <f t="shared" si="3"/>
        <v>4.0439999999999996</v>
      </c>
      <c r="I180">
        <f>12.75*0.2</f>
        <v>2.5500000000000003</v>
      </c>
      <c r="L180">
        <v>80</v>
      </c>
    </row>
    <row r="181" spans="1:12" hidden="1" x14ac:dyDescent="0.35">
      <c r="A181" t="s">
        <v>31</v>
      </c>
      <c r="B181" t="s">
        <v>32</v>
      </c>
      <c r="C181" t="s">
        <v>41</v>
      </c>
      <c r="D181" t="s">
        <v>68</v>
      </c>
      <c r="G181">
        <v>4.29</v>
      </c>
      <c r="H181">
        <f t="shared" si="3"/>
        <v>0.8580000000000001</v>
      </c>
      <c r="I181">
        <f>0.47*0.2</f>
        <v>9.4E-2</v>
      </c>
      <c r="L181">
        <v>80</v>
      </c>
    </row>
    <row r="182" spans="1:12" hidden="1" x14ac:dyDescent="0.35">
      <c r="A182" t="s">
        <v>31</v>
      </c>
      <c r="B182" t="s">
        <v>66</v>
      </c>
      <c r="C182" t="s">
        <v>35</v>
      </c>
      <c r="D182" t="s">
        <v>69</v>
      </c>
      <c r="G182">
        <v>854.55</v>
      </c>
      <c r="H182">
        <f t="shared" si="3"/>
        <v>170.91</v>
      </c>
      <c r="I182">
        <f>136.61*0.2</f>
        <v>27.322000000000003</v>
      </c>
      <c r="L182">
        <v>80</v>
      </c>
    </row>
    <row r="183" spans="1:12" hidden="1" x14ac:dyDescent="0.35">
      <c r="A183" t="s">
        <v>31</v>
      </c>
      <c r="B183" t="s">
        <v>32</v>
      </c>
      <c r="C183" t="s">
        <v>35</v>
      </c>
      <c r="D183" t="s">
        <v>69</v>
      </c>
      <c r="G183">
        <v>1364.01</v>
      </c>
      <c r="H183">
        <f t="shared" si="3"/>
        <v>272.80200000000002</v>
      </c>
      <c r="I183">
        <f>0.2*351.09</f>
        <v>70.218000000000004</v>
      </c>
      <c r="L183">
        <v>80</v>
      </c>
    </row>
    <row r="184" spans="1:12" hidden="1" x14ac:dyDescent="0.35">
      <c r="A184" t="s">
        <v>31</v>
      </c>
      <c r="B184" t="s">
        <v>61</v>
      </c>
      <c r="C184" t="s">
        <v>35</v>
      </c>
      <c r="D184" t="s">
        <v>69</v>
      </c>
      <c r="G184">
        <v>2075.44</v>
      </c>
      <c r="H184">
        <f t="shared" si="3"/>
        <v>415.08800000000002</v>
      </c>
      <c r="I184">
        <f>0.2*1745.28</f>
        <v>349.05600000000004</v>
      </c>
      <c r="L184">
        <v>80</v>
      </c>
    </row>
    <row r="185" spans="1:12" hidden="1" x14ac:dyDescent="0.35">
      <c r="A185" t="s">
        <v>31</v>
      </c>
      <c r="B185" t="s">
        <v>66</v>
      </c>
      <c r="C185" t="s">
        <v>39</v>
      </c>
      <c r="D185" t="s">
        <v>69</v>
      </c>
      <c r="G185">
        <v>302.35000000000002</v>
      </c>
      <c r="H185">
        <f t="shared" si="3"/>
        <v>60.470000000000006</v>
      </c>
      <c r="I185">
        <f>0.2*103.68</f>
        <v>20.736000000000004</v>
      </c>
      <c r="L185">
        <v>80</v>
      </c>
    </row>
    <row r="186" spans="1:12" hidden="1" x14ac:dyDescent="0.35">
      <c r="A186" t="s">
        <v>31</v>
      </c>
      <c r="B186" t="s">
        <v>32</v>
      </c>
      <c r="C186" t="s">
        <v>39</v>
      </c>
      <c r="D186" t="s">
        <v>69</v>
      </c>
      <c r="G186">
        <v>327.02999999999997</v>
      </c>
      <c r="H186">
        <f t="shared" si="3"/>
        <v>65.405999999999992</v>
      </c>
      <c r="I186">
        <f>0.2*112.89</f>
        <v>22.578000000000003</v>
      </c>
      <c r="L186">
        <v>80</v>
      </c>
    </row>
    <row r="187" spans="1:12" hidden="1" x14ac:dyDescent="0.35">
      <c r="A187" t="s">
        <v>31</v>
      </c>
      <c r="B187" t="s">
        <v>61</v>
      </c>
      <c r="C187" t="s">
        <v>39</v>
      </c>
      <c r="D187" t="s">
        <v>69</v>
      </c>
      <c r="G187">
        <v>397.49</v>
      </c>
      <c r="H187">
        <f t="shared" si="3"/>
        <v>79.498000000000005</v>
      </c>
      <c r="I187">
        <f>82.35*0.2</f>
        <v>16.47</v>
      </c>
      <c r="L187">
        <v>80</v>
      </c>
    </row>
    <row r="188" spans="1:12" hidden="1" x14ac:dyDescent="0.35">
      <c r="A188" t="s">
        <v>31</v>
      </c>
      <c r="B188" t="s">
        <v>66</v>
      </c>
      <c r="C188" t="s">
        <v>34</v>
      </c>
      <c r="D188" t="s">
        <v>69</v>
      </c>
      <c r="G188">
        <v>180.07</v>
      </c>
      <c r="H188">
        <f t="shared" si="3"/>
        <v>36.014000000000003</v>
      </c>
      <c r="I188">
        <f>0.2*81.65</f>
        <v>16.330000000000002</v>
      </c>
      <c r="L188">
        <v>80</v>
      </c>
    </row>
    <row r="189" spans="1:12" hidden="1" x14ac:dyDescent="0.35">
      <c r="A189" t="s">
        <v>31</v>
      </c>
      <c r="B189" t="s">
        <v>32</v>
      </c>
      <c r="C189" t="s">
        <v>34</v>
      </c>
      <c r="D189" t="s">
        <v>69</v>
      </c>
      <c r="G189">
        <v>154.97</v>
      </c>
      <c r="H189">
        <f t="shared" si="3"/>
        <v>30.994</v>
      </c>
      <c r="I189">
        <f>0.2*66.71</f>
        <v>13.341999999999999</v>
      </c>
      <c r="L189">
        <v>80</v>
      </c>
    </row>
    <row r="190" spans="1:12" hidden="1" x14ac:dyDescent="0.35">
      <c r="A190" t="s">
        <v>31</v>
      </c>
      <c r="B190" t="s">
        <v>61</v>
      </c>
      <c r="C190" t="s">
        <v>34</v>
      </c>
      <c r="D190" t="s">
        <v>69</v>
      </c>
      <c r="G190">
        <v>328.59</v>
      </c>
      <c r="H190">
        <f t="shared" si="3"/>
        <v>65.718000000000004</v>
      </c>
      <c r="I190">
        <f>0.2*102.73</f>
        <v>20.546000000000003</v>
      </c>
      <c r="L190">
        <v>80</v>
      </c>
    </row>
    <row r="191" spans="1:12" hidden="1" x14ac:dyDescent="0.35">
      <c r="A191" t="s">
        <v>31</v>
      </c>
      <c r="B191" t="s">
        <v>66</v>
      </c>
      <c r="C191" t="s">
        <v>40</v>
      </c>
      <c r="D191" t="s">
        <v>69</v>
      </c>
      <c r="G191">
        <v>154.13</v>
      </c>
      <c r="H191">
        <f t="shared" si="3"/>
        <v>30.826000000000001</v>
      </c>
      <c r="L191">
        <v>80</v>
      </c>
    </row>
    <row r="192" spans="1:12" hidden="1" x14ac:dyDescent="0.35">
      <c r="A192" t="s">
        <v>31</v>
      </c>
      <c r="B192" t="s">
        <v>32</v>
      </c>
      <c r="C192" t="s">
        <v>40</v>
      </c>
      <c r="D192" t="s">
        <v>69</v>
      </c>
      <c r="G192">
        <v>78.67</v>
      </c>
      <c r="H192">
        <f t="shared" si="3"/>
        <v>15.734000000000002</v>
      </c>
      <c r="I192">
        <f>0.2*33.16</f>
        <v>6.6319999999999997</v>
      </c>
      <c r="L192">
        <v>80</v>
      </c>
    </row>
    <row r="193" spans="1:12" hidden="1" x14ac:dyDescent="0.35">
      <c r="A193" t="s">
        <v>31</v>
      </c>
      <c r="B193" t="s">
        <v>61</v>
      </c>
      <c r="C193" t="s">
        <v>40</v>
      </c>
      <c r="D193" t="s">
        <v>69</v>
      </c>
      <c r="G193">
        <v>117.49</v>
      </c>
      <c r="H193">
        <f t="shared" si="3"/>
        <v>23.498000000000001</v>
      </c>
      <c r="I193">
        <f>0.2*40.1</f>
        <v>8.0200000000000014</v>
      </c>
      <c r="K193" s="3"/>
      <c r="L193">
        <v>80</v>
      </c>
    </row>
    <row r="194" spans="1:12" hidden="1" x14ac:dyDescent="0.35">
      <c r="A194" t="s">
        <v>31</v>
      </c>
      <c r="B194" t="s">
        <v>66</v>
      </c>
      <c r="C194" t="s">
        <v>41</v>
      </c>
      <c r="D194" t="s">
        <v>69</v>
      </c>
      <c r="G194">
        <v>42.85</v>
      </c>
      <c r="H194">
        <f t="shared" si="3"/>
        <v>8.57</v>
      </c>
      <c r="I194">
        <f>0.2*37.05</f>
        <v>7.41</v>
      </c>
      <c r="L194">
        <v>80</v>
      </c>
    </row>
    <row r="195" spans="1:12" hidden="1" x14ac:dyDescent="0.35">
      <c r="A195" t="s">
        <v>31</v>
      </c>
      <c r="B195" t="s">
        <v>32</v>
      </c>
      <c r="C195" t="s">
        <v>41</v>
      </c>
      <c r="D195" t="s">
        <v>69</v>
      </c>
      <c r="G195">
        <v>79.8</v>
      </c>
      <c r="H195">
        <f t="shared" si="3"/>
        <v>15.96</v>
      </c>
      <c r="I195">
        <f>0.2*62.22</f>
        <v>12.444000000000001</v>
      </c>
      <c r="L195">
        <v>80</v>
      </c>
    </row>
    <row r="196" spans="1:12" hidden="1" x14ac:dyDescent="0.35">
      <c r="A196" t="s">
        <v>31</v>
      </c>
      <c r="B196" t="s">
        <v>61</v>
      </c>
      <c r="C196" t="s">
        <v>41</v>
      </c>
      <c r="D196" t="s">
        <v>69</v>
      </c>
      <c r="G196">
        <v>173.86</v>
      </c>
      <c r="H196">
        <f t="shared" si="3"/>
        <v>34.772000000000006</v>
      </c>
      <c r="I196">
        <f>0.2*173.09</f>
        <v>34.618000000000002</v>
      </c>
      <c r="L196">
        <v>80</v>
      </c>
    </row>
    <row r="197" spans="1:12" x14ac:dyDescent="0.35">
      <c r="A197" t="s">
        <v>54</v>
      </c>
      <c r="B197" t="s">
        <v>71</v>
      </c>
      <c r="C197" t="s">
        <v>34</v>
      </c>
      <c r="D197" t="s">
        <v>70</v>
      </c>
      <c r="H197">
        <v>118</v>
      </c>
      <c r="I197">
        <v>35</v>
      </c>
      <c r="J197">
        <v>44</v>
      </c>
      <c r="K197">
        <v>191</v>
      </c>
    </row>
    <row r="198" spans="1:12" hidden="1" x14ac:dyDescent="0.35">
      <c r="A198" t="s">
        <v>54</v>
      </c>
      <c r="B198" t="s">
        <v>71</v>
      </c>
      <c r="C198" t="s">
        <v>35</v>
      </c>
      <c r="D198" t="s">
        <v>70</v>
      </c>
      <c r="H198">
        <v>376</v>
      </c>
      <c r="I198">
        <v>254</v>
      </c>
      <c r="J198">
        <v>141</v>
      </c>
      <c r="K198">
        <v>1230</v>
      </c>
    </row>
    <row r="199" spans="1:12" hidden="1" x14ac:dyDescent="0.35">
      <c r="A199" t="s">
        <v>54</v>
      </c>
      <c r="B199" t="s">
        <v>71</v>
      </c>
      <c r="C199" t="s">
        <v>39</v>
      </c>
      <c r="D199" t="s">
        <v>70</v>
      </c>
      <c r="H199">
        <v>74.7</v>
      </c>
      <c r="I199">
        <v>23</v>
      </c>
      <c r="J199">
        <v>37.200000000000003</v>
      </c>
      <c r="K199">
        <v>152</v>
      </c>
    </row>
    <row r="200" spans="1:12" x14ac:dyDescent="0.35">
      <c r="A200" t="s">
        <v>54</v>
      </c>
      <c r="B200" t="s">
        <v>71</v>
      </c>
      <c r="C200" t="s">
        <v>34</v>
      </c>
      <c r="D200" t="s">
        <v>70</v>
      </c>
      <c r="H200">
        <v>108</v>
      </c>
      <c r="I200">
        <v>51</v>
      </c>
      <c r="J200">
        <v>33.200000000000003</v>
      </c>
      <c r="K200">
        <v>182</v>
      </c>
    </row>
    <row r="201" spans="1:12" hidden="1" x14ac:dyDescent="0.35">
      <c r="A201" t="s">
        <v>54</v>
      </c>
      <c r="B201" t="s">
        <v>71</v>
      </c>
      <c r="C201" t="s">
        <v>35</v>
      </c>
      <c r="D201" t="s">
        <v>70</v>
      </c>
      <c r="H201">
        <v>351</v>
      </c>
      <c r="I201">
        <v>187</v>
      </c>
      <c r="J201">
        <v>172</v>
      </c>
      <c r="K201">
        <v>781</v>
      </c>
    </row>
    <row r="202" spans="1:12" hidden="1" x14ac:dyDescent="0.35">
      <c r="A202" t="s">
        <v>54</v>
      </c>
      <c r="B202" t="s">
        <v>71</v>
      </c>
      <c r="C202" t="s">
        <v>39</v>
      </c>
      <c r="D202" t="s">
        <v>70</v>
      </c>
      <c r="H202">
        <v>97.6</v>
      </c>
      <c r="I202">
        <v>40.799999999999997</v>
      </c>
      <c r="J202">
        <v>61.7</v>
      </c>
      <c r="K202">
        <v>514</v>
      </c>
    </row>
    <row r="203" spans="1:12" hidden="1" x14ac:dyDescent="0.35">
      <c r="A203" t="s">
        <v>54</v>
      </c>
      <c r="B203" t="s">
        <v>72</v>
      </c>
      <c r="D203" t="s">
        <v>73</v>
      </c>
      <c r="G203">
        <v>1800</v>
      </c>
      <c r="H203">
        <f>G203*0.2</f>
        <v>360</v>
      </c>
      <c r="J203">
        <f>1100*0.2</f>
        <v>220</v>
      </c>
      <c r="K203">
        <f>2800*0.2</f>
        <v>560</v>
      </c>
    </row>
    <row r="204" spans="1:12" hidden="1" x14ac:dyDescent="0.35">
      <c r="A204" t="s">
        <v>54</v>
      </c>
      <c r="B204" t="s">
        <v>74</v>
      </c>
      <c r="C204" t="s">
        <v>35</v>
      </c>
      <c r="D204" t="s">
        <v>76</v>
      </c>
      <c r="H204">
        <v>4000</v>
      </c>
      <c r="I204">
        <v>1000</v>
      </c>
      <c r="J204">
        <v>3530</v>
      </c>
      <c r="K204">
        <v>5110</v>
      </c>
    </row>
    <row r="205" spans="1:12" hidden="1" x14ac:dyDescent="0.35">
      <c r="A205" t="s">
        <v>54</v>
      </c>
      <c r="B205" t="s">
        <v>74</v>
      </c>
      <c r="C205" t="s">
        <v>35</v>
      </c>
      <c r="D205" t="s">
        <v>76</v>
      </c>
      <c r="H205">
        <v>900</v>
      </c>
      <c r="I205">
        <v>100</v>
      </c>
      <c r="J205">
        <v>730</v>
      </c>
      <c r="K205">
        <v>1110</v>
      </c>
    </row>
    <row r="206" spans="1:12" ht="16.5" hidden="1" customHeight="1" x14ac:dyDescent="0.35">
      <c r="A206" t="s">
        <v>54</v>
      </c>
      <c r="B206" t="s">
        <v>74</v>
      </c>
      <c r="C206" t="s">
        <v>35</v>
      </c>
      <c r="D206" t="s">
        <v>76</v>
      </c>
      <c r="H206">
        <v>900</v>
      </c>
      <c r="I206">
        <v>600</v>
      </c>
      <c r="J206">
        <v>120</v>
      </c>
      <c r="K206">
        <v>1980</v>
      </c>
    </row>
    <row r="207" spans="1:12" hidden="1" x14ac:dyDescent="0.35">
      <c r="A207" t="s">
        <v>54</v>
      </c>
      <c r="B207" t="s">
        <v>75</v>
      </c>
      <c r="C207" t="s">
        <v>35</v>
      </c>
      <c r="D207" t="s">
        <v>76</v>
      </c>
      <c r="H207">
        <v>1100</v>
      </c>
      <c r="J207">
        <v>1030</v>
      </c>
      <c r="K207">
        <v>1160</v>
      </c>
    </row>
    <row r="208" spans="1:12" hidden="1" x14ac:dyDescent="0.35">
      <c r="A208" t="s">
        <v>54</v>
      </c>
      <c r="B208" t="s">
        <v>75</v>
      </c>
      <c r="C208" t="s">
        <v>35</v>
      </c>
      <c r="D208" t="s">
        <v>76</v>
      </c>
      <c r="H208">
        <v>700</v>
      </c>
      <c r="I208">
        <v>300</v>
      </c>
      <c r="J208">
        <v>225</v>
      </c>
      <c r="K208">
        <v>1060</v>
      </c>
    </row>
    <row r="209" spans="1:11" hidden="1" x14ac:dyDescent="0.35">
      <c r="A209" t="s">
        <v>54</v>
      </c>
      <c r="B209" t="s">
        <v>75</v>
      </c>
      <c r="C209" t="s">
        <v>35</v>
      </c>
      <c r="D209" t="s">
        <v>76</v>
      </c>
      <c r="H209">
        <v>1000</v>
      </c>
      <c r="I209">
        <v>500</v>
      </c>
      <c r="J209">
        <v>470</v>
      </c>
      <c r="K209">
        <v>2280</v>
      </c>
    </row>
    <row r="210" spans="1:11" hidden="1" x14ac:dyDescent="0.35">
      <c r="A210" t="s">
        <v>54</v>
      </c>
      <c r="B210" t="s">
        <v>74</v>
      </c>
      <c r="C210" t="s">
        <v>39</v>
      </c>
      <c r="D210" t="s">
        <v>76</v>
      </c>
      <c r="H210">
        <v>100</v>
      </c>
      <c r="I210">
        <v>20</v>
      </c>
      <c r="J210">
        <v>66.7</v>
      </c>
      <c r="K210">
        <v>134</v>
      </c>
    </row>
    <row r="211" spans="1:11" hidden="1" x14ac:dyDescent="0.35">
      <c r="A211" t="s">
        <v>54</v>
      </c>
      <c r="B211" t="s">
        <v>74</v>
      </c>
      <c r="C211" t="s">
        <v>39</v>
      </c>
      <c r="D211" t="s">
        <v>76</v>
      </c>
      <c r="H211">
        <v>180</v>
      </c>
      <c r="I211">
        <v>30</v>
      </c>
      <c r="J211">
        <v>121</v>
      </c>
      <c r="K211">
        <v>215</v>
      </c>
    </row>
    <row r="212" spans="1:11" hidden="1" x14ac:dyDescent="0.35">
      <c r="A212" t="s">
        <v>54</v>
      </c>
      <c r="B212" t="s">
        <v>74</v>
      </c>
      <c r="C212" t="s">
        <v>39</v>
      </c>
      <c r="D212" t="s">
        <v>76</v>
      </c>
      <c r="H212">
        <v>130</v>
      </c>
      <c r="I212">
        <v>40</v>
      </c>
      <c r="J212">
        <v>83</v>
      </c>
      <c r="K212">
        <v>220</v>
      </c>
    </row>
    <row r="213" spans="1:11" hidden="1" x14ac:dyDescent="0.35">
      <c r="A213" t="s">
        <v>54</v>
      </c>
      <c r="B213" t="s">
        <v>75</v>
      </c>
      <c r="C213" t="s">
        <v>39</v>
      </c>
      <c r="D213" t="s">
        <v>76</v>
      </c>
      <c r="H213">
        <v>80</v>
      </c>
      <c r="J213">
        <v>89</v>
      </c>
      <c r="K213">
        <v>66</v>
      </c>
    </row>
    <row r="214" spans="1:11" hidden="1" x14ac:dyDescent="0.35">
      <c r="A214" t="s">
        <v>54</v>
      </c>
      <c r="B214" t="s">
        <v>75</v>
      </c>
      <c r="C214" t="s">
        <v>39</v>
      </c>
      <c r="D214" t="s">
        <v>76</v>
      </c>
      <c r="H214">
        <v>190</v>
      </c>
      <c r="I214">
        <v>80</v>
      </c>
      <c r="J214">
        <v>108</v>
      </c>
      <c r="K214">
        <v>312</v>
      </c>
    </row>
    <row r="215" spans="1:11" hidden="1" x14ac:dyDescent="0.35">
      <c r="A215" t="s">
        <v>54</v>
      </c>
      <c r="B215" t="s">
        <v>75</v>
      </c>
      <c r="C215" t="s">
        <v>39</v>
      </c>
      <c r="D215" t="s">
        <v>76</v>
      </c>
      <c r="H215">
        <v>120</v>
      </c>
      <c r="I215">
        <v>30</v>
      </c>
      <c r="J215">
        <v>87.1</v>
      </c>
      <c r="K215">
        <v>177</v>
      </c>
    </row>
    <row r="216" spans="1:11" x14ac:dyDescent="0.35">
      <c r="A216" t="s">
        <v>54</v>
      </c>
      <c r="B216" t="s">
        <v>74</v>
      </c>
      <c r="C216" t="s">
        <v>34</v>
      </c>
      <c r="D216" t="s">
        <v>76</v>
      </c>
      <c r="H216">
        <v>170</v>
      </c>
      <c r="I216">
        <v>20</v>
      </c>
      <c r="J216">
        <v>139</v>
      </c>
      <c r="K216">
        <v>180</v>
      </c>
    </row>
    <row r="217" spans="1:11" x14ac:dyDescent="0.35">
      <c r="A217" t="s">
        <v>54</v>
      </c>
      <c r="B217" t="s">
        <v>74</v>
      </c>
      <c r="C217" t="s">
        <v>34</v>
      </c>
      <c r="D217" t="s">
        <v>76</v>
      </c>
      <c r="H217">
        <v>240</v>
      </c>
      <c r="I217">
        <v>60</v>
      </c>
      <c r="J217">
        <v>189</v>
      </c>
      <c r="K217">
        <v>339</v>
      </c>
    </row>
    <row r="218" spans="1:11" x14ac:dyDescent="0.35">
      <c r="A218" t="s">
        <v>54</v>
      </c>
      <c r="B218" t="s">
        <v>74</v>
      </c>
      <c r="C218" t="s">
        <v>34</v>
      </c>
      <c r="D218" t="s">
        <v>76</v>
      </c>
      <c r="H218">
        <v>260</v>
      </c>
      <c r="I218">
        <v>50</v>
      </c>
      <c r="J218">
        <v>207</v>
      </c>
      <c r="K218">
        <v>397</v>
      </c>
    </row>
    <row r="219" spans="1:11" x14ac:dyDescent="0.35">
      <c r="A219" t="s">
        <v>54</v>
      </c>
      <c r="B219" t="s">
        <v>75</v>
      </c>
      <c r="C219" t="s">
        <v>34</v>
      </c>
      <c r="D219" t="s">
        <v>76</v>
      </c>
      <c r="H219">
        <v>138</v>
      </c>
      <c r="J219">
        <v>113</v>
      </c>
      <c r="K219">
        <v>163</v>
      </c>
    </row>
    <row r="220" spans="1:11" x14ac:dyDescent="0.35">
      <c r="A220" t="s">
        <v>54</v>
      </c>
      <c r="B220" t="s">
        <v>75</v>
      </c>
      <c r="C220" t="s">
        <v>34</v>
      </c>
      <c r="D220" t="s">
        <v>76</v>
      </c>
      <c r="H220">
        <v>200</v>
      </c>
      <c r="I220">
        <v>100</v>
      </c>
      <c r="J220">
        <v>95</v>
      </c>
      <c r="K220">
        <v>432</v>
      </c>
    </row>
    <row r="221" spans="1:11" x14ac:dyDescent="0.35">
      <c r="A221" t="s">
        <v>54</v>
      </c>
      <c r="B221" t="s">
        <v>75</v>
      </c>
      <c r="C221" t="s">
        <v>34</v>
      </c>
      <c r="D221" t="s">
        <v>76</v>
      </c>
      <c r="H221">
        <v>260</v>
      </c>
      <c r="I221">
        <v>50</v>
      </c>
      <c r="J221">
        <v>191</v>
      </c>
      <c r="K221">
        <v>346</v>
      </c>
    </row>
  </sheetData>
  <autoFilter ref="A1:N221" xr:uid="{2B4B77F4-DCEB-41F3-86F1-19B7C1766BF4}">
    <filterColumn colId="0">
      <filters>
        <filter val="Seal"/>
      </filters>
    </filterColumn>
    <filterColumn colId="2">
      <filters>
        <filter val="Muscle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>La Rochelle Université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lgilbe01</dc:creator>
  <cp:lastModifiedBy>lgilbe01</cp:lastModifiedBy>
  <dcterms:created xsi:type="dcterms:W3CDTF">2022-02-14T08:14:15Z</dcterms:created>
  <dcterms:modified xsi:type="dcterms:W3CDTF">2022-02-16T14:10:16Z</dcterms:modified>
</cp:coreProperties>
</file>