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mc:AlternateContent xmlns:mc="http://schemas.openxmlformats.org/markup-compatibility/2006">
    <mc:Choice Requires="x15">
      <x15ac:absPath xmlns:x15ac="http://schemas.microsoft.com/office/spreadsheetml/2010/11/ac" url="C:\Users\lsaphire\Downloads\"/>
    </mc:Choice>
  </mc:AlternateContent>
  <xr:revisionPtr revIDLastSave="0" documentId="8_{3919B6B5-E8B3-4E7E-9D6D-DB22F0C54BCE}" xr6:coauthVersionLast="45" xr6:coauthVersionMax="45" xr10:uidLastSave="{00000000-0000-0000-0000-000000000000}"/>
  <bookViews>
    <workbookView xWindow="-120" yWindow="-120" windowWidth="29040" windowHeight="15840" xr2:uid="{00000000-000D-0000-FFFF-FFFF00000000}"/>
  </bookViews>
  <sheets>
    <sheet name="Cover" sheetId="6" r:id="rId1"/>
    <sheet name="Operating Assumptions" sheetId="1" r:id="rId2"/>
    <sheet name="Model&gt;&gt;&gt;" sheetId="5" r:id="rId3"/>
    <sheet name="Financial Statements" sheetId="7" r:id="rId4"/>
  </sheets>
  <definedNames>
    <definedName name="CIQWBGuid" hidden="1">"e936ceb2-56af-49c8-91bd-b9f7431d4741"</definedName>
    <definedName name="Duration">Cover!$F$8</definedName>
    <definedName name="IQ_ADDIN" hidden="1">"AUTO"</definedName>
    <definedName name="IQ_CH">110000</definedName>
    <definedName name="IQ_CQ">5000</definedName>
    <definedName name="IQ_CY">10000</definedName>
    <definedName name="IQ_DAILY">500000</definedName>
    <definedName name="IQ_DNTM" hidden="1">700000</definedName>
    <definedName name="IQ_EXPENSE_CODE_">"NB12825"</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42998.8274305555</definedName>
    <definedName name="IQ_NTM">6000</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_xlnm.Print_Area" localSheetId="0">Cover!$B$2:$O$17</definedName>
    <definedName name="_xlnm.Print_Area" localSheetId="3">'Financial Statements'!$B$1:$M$103</definedName>
    <definedName name="_xlnm.Print_Area" localSheetId="1">'Operating Assumptions'!$B$1:$H$72</definedName>
  </definedNames>
  <calcPr calcId="191029" calcMode="manual"/>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81" i="7" l="1"/>
  <c r="L81" i="7"/>
  <c r="K81" i="7"/>
  <c r="J81" i="7"/>
  <c r="H81" i="7"/>
  <c r="I81" i="7"/>
  <c r="H85" i="7"/>
  <c r="H21" i="7" l="1"/>
  <c r="M17" i="7"/>
  <c r="L17" i="7"/>
  <c r="K17" i="7"/>
  <c r="J17" i="7"/>
  <c r="I17" i="7"/>
  <c r="H17" i="7"/>
  <c r="H7" i="7"/>
  <c r="H6" i="7"/>
  <c r="I6" i="7" s="1"/>
  <c r="I11" i="7" s="1"/>
  <c r="B17" i="7"/>
  <c r="B16" i="7"/>
  <c r="B12" i="7"/>
  <c r="B11" i="7"/>
  <c r="H61" i="7"/>
  <c r="H60" i="7"/>
  <c r="I60" i="7" s="1"/>
  <c r="J60" i="7" s="1"/>
  <c r="K60" i="7" s="1"/>
  <c r="L60" i="7" s="1"/>
  <c r="M60" i="7" s="1"/>
  <c r="H59" i="7"/>
  <c r="H57" i="7"/>
  <c r="I57" i="7" s="1"/>
  <c r="J57" i="7" s="1"/>
  <c r="K57" i="7" s="1"/>
  <c r="L57" i="7" s="1"/>
  <c r="M57" i="7" s="1"/>
  <c r="H56" i="7"/>
  <c r="H55" i="7"/>
  <c r="H54" i="7"/>
  <c r="H53" i="7"/>
  <c r="H52" i="7"/>
  <c r="H51" i="7"/>
  <c r="H50" i="7"/>
  <c r="H73" i="7" s="1"/>
  <c r="H49" i="7"/>
  <c r="H47" i="7"/>
  <c r="I47" i="7" s="1"/>
  <c r="J47" i="7" s="1"/>
  <c r="K47" i="7" s="1"/>
  <c r="L47" i="7" s="1"/>
  <c r="H46" i="7"/>
  <c r="H45" i="7"/>
  <c r="H43" i="7"/>
  <c r="H42" i="7"/>
  <c r="H41" i="7"/>
  <c r="H39" i="7"/>
  <c r="H38" i="7"/>
  <c r="H72" i="7" s="1"/>
  <c r="H37" i="7"/>
  <c r="H71" i="7" s="1"/>
  <c r="H36" i="7"/>
  <c r="I22" i="7" s="1"/>
  <c r="H74" i="7" l="1"/>
  <c r="H44" i="7"/>
  <c r="I37" i="7"/>
  <c r="I71" i="7" s="1"/>
  <c r="H58" i="7"/>
  <c r="H62" i="7" s="1"/>
  <c r="I56" i="7"/>
  <c r="H40" i="7"/>
  <c r="I46" i="7"/>
  <c r="J46" i="7" s="1"/>
  <c r="K46" i="7" s="1"/>
  <c r="L46" i="7" s="1"/>
  <c r="M46" i="7" s="1"/>
  <c r="M47" i="7"/>
  <c r="H16" i="7"/>
  <c r="H70" i="7" s="1"/>
  <c r="I16" i="7"/>
  <c r="I70" i="7" s="1"/>
  <c r="H12" i="7"/>
  <c r="H11" i="7"/>
  <c r="J6" i="7"/>
  <c r="J16" i="7" s="1"/>
  <c r="J70" i="7" s="1"/>
  <c r="H8" i="7"/>
  <c r="H63" i="1"/>
  <c r="H67" i="1" s="1"/>
  <c r="H71" i="1" s="1"/>
  <c r="H53" i="1"/>
  <c r="H49" i="1"/>
  <c r="H65" i="7"/>
  <c r="H33" i="7"/>
  <c r="I42" i="7" l="1"/>
  <c r="I43" i="7" s="1"/>
  <c r="I84" i="7"/>
  <c r="H48" i="7"/>
  <c r="H63" i="7" s="1"/>
  <c r="J37" i="7"/>
  <c r="J71" i="7" s="1"/>
  <c r="I21" i="7"/>
  <c r="J56" i="7"/>
  <c r="H9" i="7"/>
  <c r="H13" i="7"/>
  <c r="J11" i="7"/>
  <c r="K6" i="7"/>
  <c r="H57" i="1"/>
  <c r="H4" i="7"/>
  <c r="I85" i="7" l="1"/>
  <c r="J84" i="7"/>
  <c r="I44" i="7"/>
  <c r="K16" i="7"/>
  <c r="K70" i="7" s="1"/>
  <c r="K37" i="7"/>
  <c r="K71" i="7" s="1"/>
  <c r="J21" i="7"/>
  <c r="K56" i="7"/>
  <c r="K84" i="7" s="1"/>
  <c r="H14" i="7"/>
  <c r="H18" i="7"/>
  <c r="H23" i="7" s="1"/>
  <c r="K11" i="7"/>
  <c r="L6" i="7"/>
  <c r="H34" i="7"/>
  <c r="H66" i="7"/>
  <c r="I4" i="7"/>
  <c r="H4" i="1"/>
  <c r="H30" i="1" s="1"/>
  <c r="D10" i="6"/>
  <c r="J42" i="7" l="1"/>
  <c r="J43" i="7" s="1"/>
  <c r="J44" i="7" s="1"/>
  <c r="K42" i="7" s="1"/>
  <c r="J85" i="7"/>
  <c r="K85" i="7"/>
  <c r="L56" i="7"/>
  <c r="L84" i="7" s="1"/>
  <c r="K21" i="7"/>
  <c r="L16" i="7"/>
  <c r="L70" i="7" s="1"/>
  <c r="L37" i="7"/>
  <c r="L71" i="7" s="1"/>
  <c r="H19" i="7"/>
  <c r="H25" i="7"/>
  <c r="H26" i="7" s="1"/>
  <c r="L11" i="7"/>
  <c r="I34" i="7"/>
  <c r="I66" i="7" s="1"/>
  <c r="M6" i="7"/>
  <c r="J4" i="7"/>
  <c r="H43" i="1"/>
  <c r="L85" i="7" l="1"/>
  <c r="L21" i="7"/>
  <c r="M56" i="7"/>
  <c r="M16" i="7"/>
  <c r="M70" i="7" s="1"/>
  <c r="M37" i="7"/>
  <c r="M71" i="7" s="1"/>
  <c r="H27" i="7"/>
  <c r="H69" i="7"/>
  <c r="H75" i="7" s="1"/>
  <c r="H88" i="7" s="1"/>
  <c r="K43" i="7"/>
  <c r="K44" i="7" s="1"/>
  <c r="L42" i="7" s="1"/>
  <c r="M11" i="7"/>
  <c r="J34" i="7"/>
  <c r="J66" i="7" s="1"/>
  <c r="K4" i="7"/>
  <c r="M21" i="7" l="1"/>
  <c r="M84" i="7"/>
  <c r="L43" i="7"/>
  <c r="L44" i="7" s="1"/>
  <c r="M42" i="7" s="1"/>
  <c r="M43" i="7" s="1"/>
  <c r="M44" i="7" s="1"/>
  <c r="K34" i="7"/>
  <c r="K66" i="7" s="1"/>
  <c r="L4" i="7"/>
  <c r="M85" i="7" l="1"/>
  <c r="L34" i="7"/>
  <c r="L66" i="7" s="1"/>
  <c r="M4" i="7"/>
  <c r="K12" i="7" s="1"/>
  <c r="M12" i="7" l="1"/>
  <c r="N12" i="7" s="1"/>
  <c r="J12" i="7"/>
  <c r="L12" i="7"/>
  <c r="I12" i="7"/>
  <c r="I7" i="7"/>
  <c r="M7" i="7"/>
  <c r="K7" i="7"/>
  <c r="L7" i="7"/>
  <c r="J7" i="7"/>
  <c r="M34" i="7"/>
  <c r="M66" i="7" s="1"/>
  <c r="L50" i="7" l="1"/>
  <c r="L73" i="7" s="1"/>
  <c r="K53" i="7"/>
  <c r="L53" i="7"/>
  <c r="J53" i="7"/>
  <c r="M53" i="7"/>
  <c r="I50" i="7"/>
  <c r="I73" i="7" s="1"/>
  <c r="K50" i="7"/>
  <c r="K73" i="7" s="1"/>
  <c r="M50" i="7"/>
  <c r="M73" i="7" s="1"/>
  <c r="J50" i="7"/>
  <c r="J73" i="7" s="1"/>
  <c r="J8" i="7"/>
  <c r="J38" i="7"/>
  <c r="J72" i="7" s="1"/>
  <c r="L8" i="7"/>
  <c r="L38" i="7"/>
  <c r="L72" i="7" s="1"/>
  <c r="K8" i="7"/>
  <c r="K38" i="7"/>
  <c r="K72" i="7" s="1"/>
  <c r="N7" i="7"/>
  <c r="M38" i="7"/>
  <c r="M72" i="7" s="1"/>
  <c r="I8" i="7"/>
  <c r="I38" i="7"/>
  <c r="I72" i="7" s="1"/>
  <c r="M8" i="7"/>
  <c r="M51" i="7" s="1"/>
  <c r="L39" i="7" l="1"/>
  <c r="L51" i="7"/>
  <c r="I39" i="7"/>
  <c r="K39" i="7"/>
  <c r="K51" i="7"/>
  <c r="J39" i="7"/>
  <c r="J51" i="7"/>
  <c r="I13" i="7"/>
  <c r="I14" i="7" s="1"/>
  <c r="I53" i="7" s="1"/>
  <c r="L13" i="7"/>
  <c r="L14" i="7" s="1"/>
  <c r="L9" i="7"/>
  <c r="I9" i="7"/>
  <c r="K13" i="7"/>
  <c r="K14" i="7" s="1"/>
  <c r="J13" i="7"/>
  <c r="J18" i="7" s="1"/>
  <c r="J23" i="7" s="1"/>
  <c r="K9" i="7"/>
  <c r="J9" i="7"/>
  <c r="M9" i="7"/>
  <c r="M39" i="7"/>
  <c r="M13" i="7"/>
  <c r="K18" i="7" l="1"/>
  <c r="K23" i="7" s="1"/>
  <c r="I18" i="7"/>
  <c r="I23" i="7" s="1"/>
  <c r="L18" i="7"/>
  <c r="L23" i="7" s="1"/>
  <c r="J19" i="7"/>
  <c r="J14" i="7"/>
  <c r="I51" i="7"/>
  <c r="M14" i="7"/>
  <c r="M18" i="7"/>
  <c r="M23" i="7" s="1"/>
  <c r="I25" i="7" l="1"/>
  <c r="I26" i="7" s="1"/>
  <c r="I52" i="7"/>
  <c r="I54" i="7" s="1"/>
  <c r="L19" i="7"/>
  <c r="I19" i="7"/>
  <c r="K19" i="7"/>
  <c r="M19" i="7"/>
  <c r="I74" i="7" l="1"/>
  <c r="I27" i="7"/>
  <c r="I69" i="7"/>
  <c r="I58" i="7"/>
  <c r="I62" i="7" s="1"/>
  <c r="I75" i="7" l="1"/>
  <c r="I88" i="7" s="1"/>
  <c r="I36" i="7" s="1"/>
  <c r="J22" i="7" s="1"/>
  <c r="I40" i="7" l="1"/>
  <c r="I48" i="7" s="1"/>
  <c r="I63" i="7" s="1"/>
  <c r="J25" i="7"/>
  <c r="J26" i="7" s="1"/>
  <c r="J52" i="7"/>
  <c r="J54" i="7" l="1"/>
  <c r="J58" i="7" s="1"/>
  <c r="J62" i="7" s="1"/>
  <c r="J74" i="7"/>
  <c r="J69" i="7"/>
  <c r="J27" i="7"/>
  <c r="J75" i="7" l="1"/>
  <c r="J88" i="7" s="1"/>
  <c r="J36" i="7" s="1"/>
  <c r="J40" i="7" s="1"/>
  <c r="J48" i="7" s="1"/>
  <c r="J63" i="7" s="1"/>
  <c r="K22" i="7" l="1"/>
  <c r="K52" i="7" s="1"/>
  <c r="K25" i="7" l="1"/>
  <c r="K26" i="7" s="1"/>
  <c r="K27" i="7" s="1"/>
  <c r="K54" i="7"/>
  <c r="K58" i="7" s="1"/>
  <c r="K62" i="7" s="1"/>
  <c r="K74" i="7"/>
  <c r="K69" i="7" l="1"/>
  <c r="K75" i="7" s="1"/>
  <c r="K88" i="7" s="1"/>
  <c r="K36" i="7" s="1"/>
  <c r="K40" i="7" l="1"/>
  <c r="K48" i="7" s="1"/>
  <c r="K63" i="7" s="1"/>
  <c r="L22" i="7"/>
  <c r="L25" i="7" l="1"/>
  <c r="L26" i="7" s="1"/>
  <c r="L52" i="7"/>
  <c r="L69" i="7" l="1"/>
  <c r="L75" i="7" s="1"/>
  <c r="L88" i="7" s="1"/>
  <c r="L36" i="7" s="1"/>
  <c r="L27" i="7"/>
  <c r="L74" i="7"/>
  <c r="L54" i="7"/>
  <c r="L58" i="7" s="1"/>
  <c r="L62" i="7" s="1"/>
  <c r="L40" i="7" l="1"/>
  <c r="L48" i="7" s="1"/>
  <c r="L63" i="7" s="1"/>
  <c r="M22" i="7"/>
  <c r="M52" i="7" l="1"/>
  <c r="M25" i="7"/>
  <c r="M26" i="7" s="1"/>
  <c r="M54" i="7" l="1"/>
  <c r="M58" i="7" s="1"/>
  <c r="M62" i="7" s="1"/>
  <c r="M74" i="7"/>
  <c r="M69" i="7"/>
  <c r="M27" i="7"/>
  <c r="M75" i="7" l="1"/>
  <c r="M88" i="7" s="1"/>
  <c r="M36" i="7" s="1"/>
  <c r="M40" i="7" s="1"/>
  <c r="M48" i="7" s="1"/>
  <c r="M63" i="7" s="1"/>
</calcChain>
</file>

<file path=xl/sharedStrings.xml><?xml version="1.0" encoding="utf-8"?>
<sst xmlns="http://schemas.openxmlformats.org/spreadsheetml/2006/main" count="106" uniqueCount="77">
  <si>
    <t>Operating Assumptions</t>
  </si>
  <si>
    <t>Revenues</t>
  </si>
  <si>
    <t>YOY Growth</t>
  </si>
  <si>
    <t>COGS (Excl. Depreciation)</t>
  </si>
  <si>
    <t>Capex</t>
  </si>
  <si>
    <t>Depreciation (Book)</t>
  </si>
  <si>
    <t>Tax Rate</t>
  </si>
  <si>
    <t>Sales &amp; Marketing Expenses (excl. Amortization)</t>
  </si>
  <si>
    <t>General &amp; Administration  Expenses (excl. Amortization)</t>
  </si>
  <si>
    <t>% Revenue (assume constant margin)</t>
  </si>
  <si>
    <t xml:space="preserve">Opening Balance Sheet </t>
  </si>
  <si>
    <t>Cash &amp; Equivalents</t>
  </si>
  <si>
    <t>Accounts Receivable</t>
  </si>
  <si>
    <t>Inventory</t>
  </si>
  <si>
    <t>Other Current Assets</t>
  </si>
  <si>
    <t>Total Current Assets</t>
  </si>
  <si>
    <t>Gross PP&amp;E</t>
  </si>
  <si>
    <t>Accumulated Depreciation</t>
  </si>
  <si>
    <t>Net PP&amp;E</t>
  </si>
  <si>
    <t>Other Assets</t>
  </si>
  <si>
    <t>Accounts Payable</t>
  </si>
  <si>
    <t>Accrued Expenses &amp; Liabilities</t>
  </si>
  <si>
    <t>Taxes Payable</t>
  </si>
  <si>
    <t>Other Current Liabilities</t>
  </si>
  <si>
    <t>Total Current Liabilities</t>
  </si>
  <si>
    <t>Total Assets</t>
  </si>
  <si>
    <t>Total Liabilities</t>
  </si>
  <si>
    <t>Total Liabilities &amp; Shareholder Equity</t>
  </si>
  <si>
    <t>Other Assumptions</t>
  </si>
  <si>
    <t>Interest Rate on Cash &amp; Equivalents</t>
  </si>
  <si>
    <t>% Revenue (assume declining margin to 44%)</t>
  </si>
  <si>
    <t>Minimum Cash Balance</t>
  </si>
  <si>
    <t>Goodwill &amp; Other Intangibles</t>
  </si>
  <si>
    <t>% Revenue (assume declining margin to 4%)</t>
  </si>
  <si>
    <t>Other Long Term Liabilities</t>
  </si>
  <si>
    <t>Shareholders Equity</t>
  </si>
  <si>
    <t>($ in thousands)</t>
  </si>
  <si>
    <t>Hours To Complete:</t>
  </si>
  <si>
    <t>Prompt:</t>
  </si>
  <si>
    <t>Interest Rate on Long Term Debt</t>
  </si>
  <si>
    <t>Income Statement</t>
  </si>
  <si>
    <t>Balance Sheet</t>
  </si>
  <si>
    <t>For the period ending December 31,</t>
  </si>
  <si>
    <t>Annual Long Term Debt Paydown</t>
  </si>
  <si>
    <t>Long Term Debt</t>
  </si>
  <si>
    <t>Amortization of Goodwill &amp; Other Intangibles</t>
  </si>
  <si>
    <t>Statement Of Cash Flows</t>
  </si>
  <si>
    <t>Recreate from a blank spreadsheet a 5 year (2017E-2021E), three-statement, projection model (Income Statement / Balance Sheet / Cash Flow)
Unless noted otherwise, keep growth rates, margins and implied ratios constant throughout the projection years to optimize time spent demonstrating your understanding of the fundamentals of modeling, accounting and proper formatting.
Thanks and good luck!</t>
  </si>
  <si>
    <t>Revenue</t>
  </si>
  <si>
    <t>COGS</t>
  </si>
  <si>
    <t>Gross Margin</t>
  </si>
  <si>
    <t>Gross Margin %</t>
  </si>
  <si>
    <t>EBITDA</t>
  </si>
  <si>
    <t>EBIT</t>
  </si>
  <si>
    <t>EBIT Margin %</t>
  </si>
  <si>
    <t>Interest Expense</t>
  </si>
  <si>
    <t>Taxes</t>
  </si>
  <si>
    <t>Net Income Before Taxes</t>
  </si>
  <si>
    <t>Operating Activities</t>
  </si>
  <si>
    <t>Investing Activities</t>
  </si>
  <si>
    <t>Financing Activities</t>
  </si>
  <si>
    <t>Net Income</t>
  </si>
  <si>
    <t>Operating Margin %</t>
  </si>
  <si>
    <t>Net Margin %</t>
  </si>
  <si>
    <t>Adjustment for AR</t>
  </si>
  <si>
    <t>Adjustment for Inventory</t>
  </si>
  <si>
    <t>Adjustments for Accounts Payable</t>
  </si>
  <si>
    <t>Adjsutment for Accrued Expenses</t>
  </si>
  <si>
    <t>Cash Flow from Operating Activities</t>
  </si>
  <si>
    <t>Debt Issuance/Repayment</t>
  </si>
  <si>
    <t>Cash Flow from Investing Activities</t>
  </si>
  <si>
    <t>Interest Income</t>
  </si>
  <si>
    <t>Capital Expenditures</t>
  </si>
  <si>
    <t>Cash Flow from Financing Activites</t>
  </si>
  <si>
    <t>Ending Cash Balance</t>
  </si>
  <si>
    <t>Depreciation &amp; Amortization Add-Back</t>
  </si>
  <si>
    <t>Beginning Cash Balance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</si>
</sst>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quot;$&quot;#,##0_);\(&quot;$&quot;#,##0\);@_)"/>
    <numFmt numFmtId="167" formatCode="#,##0%_);\(#,##0%\);@_)"/>
    <numFmt numFmtId="168" formatCode="#,##0_);\(#,##0\);@_)"/>
    <numFmt numFmtId="169" formatCode="General&quot; hour(s)&quot;"/>
    <numFmt numFmtId="170" formatCode="General&quot;A&quot;"/>
  </numFmts>
  <fonts count="8" x14ac:knownFonts="1">
    <font>
      <sz val="10"/>
      <name val="Arial"/>
    </font>
    <font>
      <sz val="10"/>
      <name val="Arial"/>
      <family val="2"/>
    </font>
    <font>
      <b/>
      <sz val="10"/>
      <name val="Arial"/>
      <family val="2"/>
    </font>
    <font>
      <i/>
      <sz val="10"/>
      <name val="Arial"/>
      <family val="2"/>
    </font>
    <font>
      <sz val="10"/>
      <color rgb="FF0000FF"/>
      <name val="Arial"/>
      <family val="2"/>
    </font>
    <font>
      <b/>
      <i/>
      <sz val="10"/>
      <name val="Arial"/>
      <family val="2"/>
    </font>
    <font>
      <u val="singleAccounting"/>
      <sz val="10"/>
      <name val="Arial"/>
      <family val="2"/>
    </font>
    <font>
      <u/>
      <sz val="10"/>
      <name val="Arial"/>
      <family val="2"/>
    </font>
  </fonts>
  <fills count="3">
    <fill>
      <patternFill patternType="none"/>
    </fill>
    <fill>
      <patternFill patternType="gray125"/>
    </fill>
    <fill>
      <patternFill patternType="solid">
        <fgColor theme="0" tint="-4.9989318521683403E-2"/>
        <bgColor indexed="64"/>
      </patternFill>
    </fill>
  </fills>
  <borders count="15">
    <border>
      <left/>
      <right/>
      <top/>
      <bottom/>
      <diagonal/>
    </border>
    <border>
      <left/>
      <right/>
      <top/>
      <bottom style="medium">
        <color indexed="64"/>
      </bottom>
      <diagonal/>
    </border>
    <border>
      <left/>
      <right/>
      <top/>
      <bottom style="thin">
        <color indexed="64"/>
      </bottom>
      <diagonal/>
    </border>
    <border>
      <left style="thin">
        <color theme="2"/>
      </left>
      <right/>
      <top style="thin">
        <color theme="2"/>
      </top>
      <bottom/>
      <diagonal/>
    </border>
    <border>
      <left/>
      <right/>
      <top style="thin">
        <color theme="2"/>
      </top>
      <bottom/>
      <diagonal/>
    </border>
    <border>
      <left/>
      <right style="thin">
        <color theme="2"/>
      </right>
      <top style="thin">
        <color theme="2"/>
      </top>
      <bottom/>
      <diagonal/>
    </border>
    <border>
      <left style="thin">
        <color theme="2"/>
      </left>
      <right/>
      <top/>
      <bottom/>
      <diagonal/>
    </border>
    <border>
      <left/>
      <right style="thin">
        <color theme="2"/>
      </right>
      <top/>
      <bottom/>
      <diagonal/>
    </border>
    <border>
      <left style="thin">
        <color theme="2"/>
      </left>
      <right/>
      <top/>
      <bottom style="thin">
        <color theme="2"/>
      </bottom>
      <diagonal/>
    </border>
    <border>
      <left/>
      <right/>
      <top/>
      <bottom style="thin">
        <color theme="2"/>
      </bottom>
      <diagonal/>
    </border>
    <border>
      <left/>
      <right style="thin">
        <color theme="2"/>
      </right>
      <top/>
      <bottom style="thin">
        <color theme="2"/>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
      <left/>
      <right/>
      <top style="thin">
        <color indexed="64"/>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53">
    <xf numFmtId="0" fontId="0" fillId="0" borderId="0" xfId="0"/>
    <xf numFmtId="0" fontId="2" fillId="0" borderId="0" xfId="0" applyFont="1"/>
    <xf numFmtId="0" fontId="2" fillId="0" borderId="1" xfId="0" applyFont="1" applyBorder="1" applyAlignment="1">
      <alignment horizontal="center"/>
    </xf>
    <xf numFmtId="0" fontId="1" fillId="0" borderId="0" xfId="0" applyFont="1"/>
    <xf numFmtId="0" fontId="3" fillId="0" borderId="0" xfId="0" applyFont="1"/>
    <xf numFmtId="0" fontId="1" fillId="0" borderId="1" xfId="0" applyFont="1" applyBorder="1"/>
    <xf numFmtId="166" fontId="4" fillId="0" borderId="0" xfId="2" applyNumberFormat="1" applyFont="1"/>
    <xf numFmtId="167" fontId="4" fillId="0" borderId="0" xfId="3" applyNumberFormat="1" applyFont="1"/>
    <xf numFmtId="164" fontId="1" fillId="0" borderId="0" xfId="0" applyNumberFormat="1" applyFont="1"/>
    <xf numFmtId="9" fontId="1" fillId="0" borderId="0" xfId="3" applyFont="1"/>
    <xf numFmtId="168" fontId="4" fillId="0" borderId="0" xfId="1" applyNumberFormat="1" applyFont="1"/>
    <xf numFmtId="44" fontId="1" fillId="0" borderId="1" xfId="2" applyFont="1" applyBorder="1"/>
    <xf numFmtId="0" fontId="1" fillId="0" borderId="2" xfId="0" applyFont="1" applyBorder="1"/>
    <xf numFmtId="165" fontId="1" fillId="0" borderId="0" xfId="1" applyNumberFormat="1" applyFont="1"/>
    <xf numFmtId="165" fontId="1" fillId="0" borderId="1" xfId="1" applyNumberFormat="1" applyFont="1" applyBorder="1"/>
    <xf numFmtId="168" fontId="4" fillId="0" borderId="2" xfId="1" applyNumberFormat="1" applyFont="1" applyBorder="1"/>
    <xf numFmtId="168" fontId="1" fillId="0" borderId="0" xfId="1" applyNumberFormat="1" applyFont="1"/>
    <xf numFmtId="0" fontId="0" fillId="0" borderId="3" xfId="0" applyBorder="1"/>
    <xf numFmtId="0" fontId="0" fillId="0" borderId="4" xfId="0" applyBorder="1"/>
    <xf numFmtId="0" fontId="0" fillId="0" borderId="5" xfId="0" applyBorder="1"/>
    <xf numFmtId="0" fontId="0" fillId="0" borderId="6" xfId="0" applyBorder="1"/>
    <xf numFmtId="0" fontId="2" fillId="0" borderId="0" xfId="0" applyFont="1" applyBorder="1"/>
    <xf numFmtId="0" fontId="0" fillId="0" borderId="0" xfId="0" applyBorder="1"/>
    <xf numFmtId="0" fontId="0" fillId="0" borderId="7" xfId="0" applyBorder="1"/>
    <xf numFmtId="0" fontId="1" fillId="0" borderId="0" xfId="0" applyFont="1" applyBorder="1" applyAlignment="1">
      <alignment wrapText="1"/>
    </xf>
    <xf numFmtId="0" fontId="0" fillId="0" borderId="8" xfId="0" applyBorder="1"/>
    <xf numFmtId="0" fontId="0" fillId="0" borderId="9" xfId="0" applyBorder="1"/>
    <xf numFmtId="0" fontId="0" fillId="0" borderId="10" xfId="0" applyBorder="1"/>
    <xf numFmtId="0" fontId="5" fillId="0" borderId="0" xfId="0" applyFont="1" applyBorder="1"/>
    <xf numFmtId="0" fontId="3" fillId="0" borderId="0" xfId="0" applyFont="1" applyBorder="1"/>
    <xf numFmtId="169" fontId="3" fillId="0" borderId="0" xfId="0" applyNumberFormat="1" applyFont="1" applyBorder="1"/>
    <xf numFmtId="0" fontId="5" fillId="0" borderId="0" xfId="0" applyFont="1" applyBorder="1" applyAlignment="1">
      <alignment wrapText="1"/>
    </xf>
    <xf numFmtId="170" fontId="2" fillId="0" borderId="0" xfId="0" applyNumberFormat="1" applyFont="1" applyAlignment="1">
      <alignment horizontal="center"/>
    </xf>
    <xf numFmtId="0" fontId="1" fillId="2" borderId="11" xfId="0" applyFont="1" applyFill="1" applyBorder="1" applyAlignment="1">
      <alignment vertical="top" wrapText="1"/>
    </xf>
    <xf numFmtId="0" fontId="1" fillId="2" borderId="12" xfId="0" applyFont="1" applyFill="1" applyBorder="1" applyAlignment="1">
      <alignment vertical="top" wrapText="1"/>
    </xf>
    <xf numFmtId="0" fontId="1" fillId="2" borderId="13" xfId="0" applyFont="1" applyFill="1" applyBorder="1" applyAlignment="1">
      <alignment vertical="top" wrapText="1"/>
    </xf>
    <xf numFmtId="0" fontId="0" fillId="0" borderId="1" xfId="0" applyBorder="1"/>
    <xf numFmtId="165" fontId="2" fillId="0" borderId="2" xfId="1" applyNumberFormat="1" applyFont="1" applyBorder="1" applyAlignment="1">
      <alignment horizontal="centerContinuous"/>
    </xf>
    <xf numFmtId="165" fontId="2" fillId="0" borderId="1" xfId="1" applyNumberFormat="1" applyFont="1" applyBorder="1" applyAlignment="1">
      <alignment horizontal="center"/>
    </xf>
    <xf numFmtId="165" fontId="0" fillId="0" borderId="0" xfId="1" applyNumberFormat="1" applyFont="1"/>
    <xf numFmtId="165" fontId="0" fillId="0" borderId="1" xfId="1" applyNumberFormat="1" applyFont="1" applyBorder="1"/>
    <xf numFmtId="0" fontId="2" fillId="0" borderId="0" xfId="1" applyNumberFormat="1" applyFont="1" applyAlignment="1">
      <alignment horizontal="right"/>
    </xf>
    <xf numFmtId="10" fontId="6" fillId="0" borderId="0" xfId="3" applyNumberFormat="1" applyFont="1"/>
    <xf numFmtId="9" fontId="3" fillId="0" borderId="0" xfId="3" applyFont="1" applyAlignment="1">
      <alignment horizontal="right"/>
    </xf>
    <xf numFmtId="0" fontId="0" fillId="0" borderId="2" xfId="0" applyBorder="1"/>
    <xf numFmtId="165" fontId="1" fillId="0" borderId="2" xfId="1" applyNumberFormat="1" applyFont="1" applyBorder="1"/>
    <xf numFmtId="165" fontId="0" fillId="0" borderId="2" xfId="1" applyNumberFormat="1" applyFont="1" applyBorder="1"/>
    <xf numFmtId="9" fontId="3" fillId="0" borderId="0" xfId="3" applyFont="1"/>
    <xf numFmtId="10" fontId="0" fillId="0" borderId="0" xfId="0" applyNumberFormat="1"/>
    <xf numFmtId="10" fontId="7" fillId="0" borderId="0" xfId="3" applyNumberFormat="1" applyFont="1"/>
    <xf numFmtId="0" fontId="1" fillId="0" borderId="14" xfId="0" applyFont="1" applyBorder="1"/>
    <xf numFmtId="0" fontId="0" fillId="0" borderId="14" xfId="0" applyBorder="1"/>
    <xf numFmtId="165" fontId="1" fillId="0" borderId="14" xfId="1" applyNumberFormat="1" applyFont="1" applyBorder="1"/>
  </cellXfs>
  <cellStyles count="4">
    <cellStyle name="Comma" xfId="1" builtinId="3"/>
    <cellStyle name="Currency" xfId="2" builtinId="4"/>
    <cellStyle name="Normal" xfId="0" builtinId="0"/>
    <cellStyle name="Percent" xfId="3"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D252B"/>
      <rgbColor rgb="00008000"/>
      <rgbColor rgb="00000080"/>
      <rgbColor rgb="00E3E311"/>
      <rgbColor rgb="00800080"/>
      <rgbColor rgb="0068A2B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A469"/>
      <rgbColor rgb="003366FF"/>
      <rgbColor rgb="0033CCCC"/>
      <rgbColor rgb="0099CC00"/>
      <rgbColor rgb="00FFCC00"/>
      <rgbColor rgb="00FF9900"/>
      <rgbColor rgb="00FF6600"/>
      <rgbColor rgb="00666699"/>
      <rgbColor rgb="00969696"/>
      <rgbColor rgb="00003366"/>
      <rgbColor rgb="00339966"/>
      <rgbColor rgb="00003300"/>
      <rgbColor rgb="00FFF079"/>
      <rgbColor rgb="00993300"/>
      <rgbColor rgb="00993366"/>
      <rgbColor rgb="0020396D"/>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JMP">
      <a:dk1>
        <a:sysClr val="windowText" lastClr="000000"/>
      </a:dk1>
      <a:lt1>
        <a:sysClr val="window" lastClr="FFFFFF"/>
      </a:lt1>
      <a:dk2>
        <a:srgbClr val="D1B97E"/>
      </a:dk2>
      <a:lt2>
        <a:srgbClr val="285C92"/>
      </a:lt2>
      <a:accent1>
        <a:srgbClr val="221F20"/>
      </a:accent1>
      <a:accent2>
        <a:srgbClr val="666666"/>
      </a:accent2>
      <a:accent3>
        <a:srgbClr val="C3C3C3"/>
      </a:accent3>
      <a:accent4>
        <a:srgbClr val="EBEBEB"/>
      </a:accent4>
      <a:accent5>
        <a:srgbClr val="800000"/>
      </a:accent5>
      <a:accent6>
        <a:srgbClr val="51BA56"/>
      </a:accent6>
      <a:hlink>
        <a:srgbClr val="0600FF"/>
      </a:hlink>
      <a:folHlink>
        <a:srgbClr val="7776DB"/>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sheetPr>
  <dimension ref="C3:N16"/>
  <sheetViews>
    <sheetView showGridLines="0" tabSelected="1" view="pageBreakPreview" zoomScaleNormal="100" zoomScaleSheetLayoutView="100" workbookViewId="0">
      <selection activeCell="I9" sqref="I9"/>
    </sheetView>
  </sheetViews>
  <sheetFormatPr defaultRowHeight="12.75" x14ac:dyDescent="0.2"/>
  <cols>
    <col min="2" max="3" width="2.7109375" customWidth="1"/>
    <col min="6" max="6" width="20.7109375" customWidth="1"/>
    <col min="14" max="15" width="2.7109375" customWidth="1"/>
  </cols>
  <sheetData>
    <row r="3" spans="3:14" x14ac:dyDescent="0.2">
      <c r="C3" s="17"/>
      <c r="D3" s="18"/>
      <c r="E3" s="18"/>
      <c r="F3" s="18"/>
      <c r="G3" s="18"/>
      <c r="H3" s="18"/>
      <c r="I3" s="18"/>
      <c r="J3" s="18"/>
      <c r="K3" s="18"/>
      <c r="L3" s="18"/>
      <c r="M3" s="18"/>
      <c r="N3" s="19"/>
    </row>
    <row r="4" spans="3:14" x14ac:dyDescent="0.2">
      <c r="C4" s="20"/>
      <c r="D4" s="21"/>
      <c r="E4" s="22"/>
      <c r="F4" s="22"/>
      <c r="G4" s="22"/>
      <c r="H4" s="22"/>
      <c r="I4" s="22"/>
      <c r="J4" s="22"/>
      <c r="K4" s="22"/>
      <c r="L4" s="22"/>
      <c r="M4" s="22"/>
      <c r="N4" s="23"/>
    </row>
    <row r="5" spans="3:14" x14ac:dyDescent="0.2">
      <c r="C5" s="20"/>
      <c r="D5" s="21"/>
      <c r="E5" s="22"/>
      <c r="F5" s="22"/>
      <c r="G5" s="22"/>
      <c r="H5" s="22"/>
      <c r="I5" s="22"/>
      <c r="J5" s="22"/>
      <c r="K5" s="22"/>
      <c r="L5" s="22"/>
      <c r="M5" s="22"/>
      <c r="N5" s="23"/>
    </row>
    <row r="6" spans="3:14" x14ac:dyDescent="0.2">
      <c r="C6" s="20"/>
      <c r="D6" s="21"/>
      <c r="E6" s="22"/>
      <c r="F6" s="22"/>
      <c r="G6" s="22"/>
      <c r="H6" s="22"/>
      <c r="I6" s="22"/>
      <c r="J6" s="22"/>
      <c r="K6" s="22"/>
      <c r="L6" s="22"/>
      <c r="M6" s="22"/>
      <c r="N6" s="23"/>
    </row>
    <row r="7" spans="3:14" x14ac:dyDescent="0.2">
      <c r="C7" s="20"/>
      <c r="D7" s="21"/>
      <c r="E7" s="22"/>
      <c r="F7" s="22"/>
      <c r="G7" s="22"/>
      <c r="H7" s="22"/>
      <c r="I7" s="22"/>
      <c r="J7" s="22"/>
      <c r="K7" s="22"/>
      <c r="L7" s="22"/>
      <c r="M7" s="22"/>
      <c r="N7" s="23"/>
    </row>
    <row r="8" spans="3:14" x14ac:dyDescent="0.2">
      <c r="C8" s="20"/>
      <c r="D8" s="28" t="s">
        <v>37</v>
      </c>
      <c r="E8" s="29"/>
      <c r="F8" s="30">
        <v>1</v>
      </c>
      <c r="G8" s="22"/>
      <c r="H8" s="22"/>
      <c r="I8" s="22"/>
      <c r="J8" s="22"/>
      <c r="K8" s="22"/>
      <c r="L8" s="22"/>
      <c r="M8" s="22"/>
      <c r="N8" s="23"/>
    </row>
    <row r="9" spans="3:14" x14ac:dyDescent="0.2">
      <c r="C9" s="20"/>
      <c r="D9" s="28"/>
      <c r="E9" s="29"/>
      <c r="F9" s="30"/>
      <c r="G9" s="22"/>
      <c r="H9" s="22"/>
      <c r="I9" s="22"/>
      <c r="J9" s="22"/>
      <c r="K9" s="22"/>
      <c r="L9" s="22"/>
      <c r="M9" s="22"/>
      <c r="N9" s="23"/>
    </row>
    <row r="10" spans="3:14" ht="30" customHeight="1" x14ac:dyDescent="0.2">
      <c r="C10" s="20"/>
      <c r="D10" s="33" t="str">
        <f>+"Thank you for embarking on the path to become a "&amp;$D$5&amp;" with "&amp;$D$4&amp;". You will have "&amp;$F$8&amp;" hour(s) to complete this "&amp;$D$6&amp;" and send it back to "&amp;$D$4&amp;". "&amp;CHAR(10)&amp;CHAR(10)</f>
        <v xml:space="preserve">Thank you for embarking on the path to become a  with . You will have 1 hour(s) to complete this  and send it back to . 
</v>
      </c>
      <c r="E10" s="34"/>
      <c r="F10" s="34"/>
      <c r="G10" s="34"/>
      <c r="H10" s="34"/>
      <c r="I10" s="34"/>
      <c r="J10" s="34"/>
      <c r="K10" s="34"/>
      <c r="L10" s="34"/>
      <c r="M10" s="35"/>
      <c r="N10" s="23"/>
    </row>
    <row r="11" spans="3:14" x14ac:dyDescent="0.2">
      <c r="C11" s="20"/>
      <c r="D11" s="24"/>
      <c r="E11" s="24"/>
      <c r="F11" s="24"/>
      <c r="G11" s="24"/>
      <c r="H11" s="24"/>
      <c r="I11" s="24"/>
      <c r="J11" s="24"/>
      <c r="K11" s="24"/>
      <c r="L11" s="24"/>
      <c r="M11" s="24"/>
      <c r="N11" s="23"/>
    </row>
    <row r="12" spans="3:14" x14ac:dyDescent="0.2">
      <c r="C12" s="20"/>
      <c r="D12" s="31" t="s">
        <v>38</v>
      </c>
      <c r="E12" s="24"/>
      <c r="F12" s="24"/>
      <c r="G12" s="24"/>
      <c r="H12" s="24"/>
      <c r="I12" s="24"/>
      <c r="J12" s="24"/>
      <c r="K12" s="24"/>
      <c r="L12" s="24"/>
      <c r="M12" s="24"/>
      <c r="N12" s="23"/>
    </row>
    <row r="13" spans="3:14" x14ac:dyDescent="0.2">
      <c r="C13" s="20"/>
      <c r="D13" s="31"/>
      <c r="E13" s="24"/>
      <c r="F13" s="24"/>
      <c r="G13" s="24"/>
      <c r="H13" s="24"/>
      <c r="I13" s="24"/>
      <c r="J13" s="24"/>
      <c r="K13" s="24"/>
      <c r="L13" s="24"/>
      <c r="M13" s="24"/>
      <c r="N13" s="23"/>
    </row>
    <row r="14" spans="3:14" ht="99.95" customHeight="1" x14ac:dyDescent="0.2">
      <c r="C14" s="20"/>
      <c r="D14" s="33" t="s">
        <v>47</v>
      </c>
      <c r="E14" s="34"/>
      <c r="F14" s="34"/>
      <c r="G14" s="34"/>
      <c r="H14" s="34"/>
      <c r="I14" s="34"/>
      <c r="J14" s="34"/>
      <c r="K14" s="34"/>
      <c r="L14" s="34"/>
      <c r="M14" s="35"/>
      <c r="N14" s="23"/>
    </row>
    <row r="15" spans="3:14" x14ac:dyDescent="0.2">
      <c r="C15" s="20"/>
      <c r="D15" s="22"/>
      <c r="E15" s="22"/>
      <c r="F15" s="22"/>
      <c r="G15" s="22"/>
      <c r="H15" s="22"/>
      <c r="I15" s="22"/>
      <c r="J15" s="22"/>
      <c r="K15" s="22"/>
      <c r="L15" s="22"/>
      <c r="M15" s="22"/>
      <c r="N15" s="23"/>
    </row>
    <row r="16" spans="3:14" x14ac:dyDescent="0.2">
      <c r="C16" s="25"/>
      <c r="D16" s="26"/>
      <c r="E16" s="26"/>
      <c r="F16" s="26"/>
      <c r="G16" s="26"/>
      <c r="H16" s="26"/>
      <c r="I16" s="26"/>
      <c r="J16" s="26"/>
      <c r="K16" s="26"/>
      <c r="L16" s="26"/>
      <c r="M16" s="26"/>
      <c r="N16" s="27"/>
    </row>
  </sheetData>
  <mergeCells count="2">
    <mergeCell ref="D10:M10"/>
    <mergeCell ref="D14:M14"/>
  </mergeCells>
  <pageMargins left="0.7" right="0.7" top="0.75" bottom="0.75" header="0.3" footer="0.3"/>
  <pageSetup scale="7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theme="4"/>
  </sheetPr>
  <dimension ref="B2:P81"/>
  <sheetViews>
    <sheetView showGridLines="0" view="pageBreakPreview" zoomScaleNormal="85" zoomScaleSheetLayoutView="100" workbookViewId="0">
      <selection activeCell="H60" sqref="H60"/>
    </sheetView>
  </sheetViews>
  <sheetFormatPr defaultRowHeight="12.75" x14ac:dyDescent="0.2"/>
  <cols>
    <col min="8" max="8" width="15.28515625" bestFit="1" customWidth="1"/>
  </cols>
  <sheetData>
    <row r="2" spans="2:16" x14ac:dyDescent="0.2">
      <c r="B2" s="1" t="s">
        <v>0</v>
      </c>
      <c r="C2" s="3"/>
      <c r="D2" s="3"/>
      <c r="E2" s="3"/>
      <c r="F2" s="3"/>
      <c r="G2" s="3"/>
      <c r="H2" s="3"/>
      <c r="I2" s="3"/>
      <c r="J2" s="3"/>
      <c r="K2" s="3"/>
      <c r="L2" s="3"/>
      <c r="M2" s="3"/>
      <c r="N2" s="3"/>
      <c r="O2" s="3"/>
      <c r="P2" s="3"/>
    </row>
    <row r="3" spans="2:16" x14ac:dyDescent="0.2">
      <c r="B3" s="3"/>
      <c r="C3" s="3"/>
      <c r="D3" s="3"/>
      <c r="E3" s="3"/>
      <c r="F3" s="3"/>
      <c r="G3" s="3"/>
      <c r="H3" s="3"/>
      <c r="I3" s="3"/>
      <c r="J3" s="3"/>
      <c r="K3" s="3"/>
      <c r="L3" s="3"/>
      <c r="M3" s="3"/>
      <c r="N3" s="3"/>
      <c r="O3" s="3"/>
      <c r="P3" s="3"/>
    </row>
    <row r="4" spans="2:16" x14ac:dyDescent="0.2">
      <c r="B4" s="4" t="s">
        <v>36</v>
      </c>
      <c r="C4" s="3"/>
      <c r="D4" s="3"/>
      <c r="E4" s="3"/>
      <c r="F4" s="3"/>
      <c r="G4" s="3"/>
      <c r="H4" s="32">
        <f ca="1">+YEAR(TODAY())-1</f>
        <v>2019</v>
      </c>
      <c r="I4" s="3"/>
      <c r="J4" s="3"/>
      <c r="K4" s="3"/>
      <c r="L4" s="3"/>
      <c r="M4" s="3"/>
      <c r="N4" s="3"/>
      <c r="O4" s="3"/>
      <c r="P4" s="3"/>
    </row>
    <row r="5" spans="2:16" ht="3" customHeight="1" thickBot="1" x14ac:dyDescent="0.25">
      <c r="B5" s="5"/>
      <c r="C5" s="5"/>
      <c r="D5" s="5"/>
      <c r="E5" s="5"/>
      <c r="F5" s="5"/>
      <c r="G5" s="5"/>
      <c r="H5" s="2"/>
      <c r="I5" s="3"/>
      <c r="J5" s="3"/>
      <c r="K5" s="3"/>
      <c r="L5" s="3"/>
      <c r="M5" s="3"/>
      <c r="N5" s="3"/>
      <c r="O5" s="3"/>
      <c r="P5" s="3"/>
    </row>
    <row r="6" spans="2:16" x14ac:dyDescent="0.2">
      <c r="B6" s="3" t="s">
        <v>1</v>
      </c>
      <c r="C6" s="3"/>
      <c r="D6" s="3"/>
      <c r="E6" s="3"/>
      <c r="F6" s="3"/>
      <c r="G6" s="3"/>
      <c r="H6" s="6">
        <v>20000</v>
      </c>
      <c r="I6" s="3"/>
      <c r="J6" s="3"/>
      <c r="K6" s="3"/>
      <c r="L6" s="3"/>
      <c r="M6" s="3"/>
      <c r="N6" s="3"/>
      <c r="O6" s="3"/>
      <c r="P6" s="3"/>
    </row>
    <row r="7" spans="2:16" x14ac:dyDescent="0.2">
      <c r="B7" s="3" t="s">
        <v>2</v>
      </c>
      <c r="C7" s="3"/>
      <c r="D7" s="3"/>
      <c r="E7" s="3"/>
      <c r="F7" s="3"/>
      <c r="G7" s="3"/>
      <c r="H7" s="7">
        <v>0.1</v>
      </c>
      <c r="I7" s="3"/>
      <c r="J7" s="3"/>
      <c r="K7" s="3"/>
      <c r="L7" s="3"/>
      <c r="M7" s="3"/>
      <c r="N7" s="3"/>
      <c r="O7" s="3"/>
      <c r="P7" s="3"/>
    </row>
    <row r="8" spans="2:16" x14ac:dyDescent="0.2">
      <c r="B8" s="3"/>
      <c r="C8" s="3"/>
      <c r="D8" s="3"/>
      <c r="E8" s="3"/>
      <c r="F8" s="3"/>
      <c r="G8" s="3"/>
      <c r="H8" s="3"/>
      <c r="I8" s="3"/>
      <c r="J8" s="3"/>
      <c r="K8" s="3"/>
      <c r="L8" s="3"/>
      <c r="M8" s="3"/>
      <c r="N8" s="3"/>
      <c r="O8" s="3"/>
      <c r="P8" s="3"/>
    </row>
    <row r="9" spans="2:16" x14ac:dyDescent="0.2">
      <c r="B9" s="3" t="s">
        <v>3</v>
      </c>
      <c r="C9" s="3"/>
      <c r="D9" s="3"/>
      <c r="E9" s="3"/>
      <c r="F9" s="3"/>
      <c r="G9" s="3"/>
      <c r="H9" s="6">
        <v>9000</v>
      </c>
      <c r="I9" s="3"/>
      <c r="J9" s="3"/>
      <c r="K9" s="3"/>
      <c r="L9" s="3"/>
      <c r="M9" s="3"/>
      <c r="N9" s="3"/>
      <c r="O9" s="3"/>
      <c r="P9" s="3"/>
    </row>
    <row r="10" spans="2:16" x14ac:dyDescent="0.2">
      <c r="B10" s="3" t="s">
        <v>30</v>
      </c>
      <c r="C10" s="3"/>
      <c r="D10" s="3"/>
      <c r="E10" s="3"/>
      <c r="F10" s="3"/>
      <c r="G10" s="3"/>
      <c r="H10" s="7">
        <v>0.45</v>
      </c>
      <c r="I10" s="3"/>
      <c r="J10" s="3"/>
      <c r="K10" s="3"/>
      <c r="L10" s="3"/>
      <c r="M10" s="3"/>
      <c r="N10" s="3"/>
      <c r="O10" s="3"/>
      <c r="P10" s="3"/>
    </row>
    <row r="11" spans="2:16" x14ac:dyDescent="0.2">
      <c r="B11" s="3"/>
      <c r="C11" s="3"/>
      <c r="D11" s="3"/>
      <c r="E11" s="3"/>
      <c r="F11" s="3"/>
      <c r="G11" s="3"/>
      <c r="H11" s="3"/>
      <c r="I11" s="3"/>
      <c r="J11" s="3"/>
      <c r="K11" s="3"/>
      <c r="L11" s="3"/>
      <c r="M11" s="3"/>
      <c r="N11" s="3"/>
      <c r="O11" s="3"/>
      <c r="P11" s="3"/>
    </row>
    <row r="12" spans="2:16" x14ac:dyDescent="0.2">
      <c r="B12" s="3" t="s">
        <v>8</v>
      </c>
      <c r="C12" s="3"/>
      <c r="D12" s="3"/>
      <c r="E12" s="3"/>
      <c r="F12" s="3"/>
      <c r="G12" s="3"/>
      <c r="H12" s="6">
        <v>1800</v>
      </c>
      <c r="I12" s="3"/>
      <c r="J12" s="8"/>
      <c r="K12" s="3"/>
      <c r="L12" s="3"/>
      <c r="M12" s="3"/>
      <c r="N12" s="3"/>
      <c r="O12" s="3"/>
      <c r="P12" s="3"/>
    </row>
    <row r="13" spans="2:16" x14ac:dyDescent="0.2">
      <c r="B13" s="3" t="s">
        <v>9</v>
      </c>
      <c r="C13" s="3"/>
      <c r="D13" s="3"/>
      <c r="E13" s="3"/>
      <c r="F13" s="3"/>
      <c r="G13" s="3"/>
      <c r="H13" s="7">
        <v>0.09</v>
      </c>
      <c r="I13" s="3"/>
      <c r="J13" s="3"/>
      <c r="K13" s="3"/>
      <c r="L13" s="3"/>
      <c r="M13" s="3"/>
      <c r="N13" s="3"/>
      <c r="O13" s="3"/>
      <c r="P13" s="3"/>
    </row>
    <row r="14" spans="2:16" x14ac:dyDescent="0.2">
      <c r="B14" s="3"/>
      <c r="C14" s="3"/>
      <c r="D14" s="3"/>
      <c r="E14" s="3"/>
      <c r="F14" s="3"/>
      <c r="G14" s="3"/>
      <c r="H14" s="3"/>
      <c r="I14" s="3"/>
      <c r="J14" s="3"/>
      <c r="K14" s="3"/>
      <c r="L14" s="3"/>
      <c r="M14" s="3"/>
      <c r="N14" s="3"/>
      <c r="O14" s="3"/>
      <c r="P14" s="3"/>
    </row>
    <row r="15" spans="2:16" x14ac:dyDescent="0.2">
      <c r="B15" s="3" t="s">
        <v>7</v>
      </c>
      <c r="C15" s="3"/>
      <c r="D15" s="3"/>
      <c r="E15" s="3"/>
      <c r="F15" s="3"/>
      <c r="G15" s="3"/>
      <c r="H15" s="6">
        <v>1100</v>
      </c>
      <c r="I15" s="3"/>
      <c r="J15" s="3"/>
      <c r="K15" s="3"/>
      <c r="L15" s="3"/>
      <c r="M15" s="3"/>
      <c r="N15" s="3"/>
      <c r="O15" s="3"/>
      <c r="P15" s="3"/>
    </row>
    <row r="16" spans="2:16" x14ac:dyDescent="0.2">
      <c r="B16" s="3" t="s">
        <v>33</v>
      </c>
      <c r="C16" s="3"/>
      <c r="D16" s="3"/>
      <c r="E16" s="3"/>
      <c r="F16" s="3"/>
      <c r="G16" s="3"/>
      <c r="H16" s="7">
        <v>5.5E-2</v>
      </c>
      <c r="I16" s="3"/>
      <c r="J16" s="3"/>
      <c r="K16" s="3"/>
      <c r="L16" s="3"/>
      <c r="M16" s="3"/>
      <c r="N16" s="3"/>
      <c r="O16" s="3"/>
      <c r="P16" s="3"/>
    </row>
    <row r="17" spans="2:16" x14ac:dyDescent="0.2">
      <c r="B17" s="3"/>
      <c r="C17" s="3"/>
      <c r="D17" s="3"/>
      <c r="E17" s="3"/>
      <c r="F17" s="3"/>
      <c r="G17" s="3"/>
      <c r="H17" s="3"/>
      <c r="I17" s="3"/>
      <c r="J17" s="3"/>
      <c r="K17" s="3"/>
      <c r="L17" s="3"/>
      <c r="M17" s="3"/>
      <c r="N17" s="3"/>
      <c r="O17" s="3"/>
      <c r="P17" s="3"/>
    </row>
    <row r="18" spans="2:16" x14ac:dyDescent="0.2">
      <c r="B18" s="3" t="s">
        <v>5</v>
      </c>
      <c r="C18" s="3"/>
      <c r="D18" s="3"/>
      <c r="E18" s="3"/>
      <c r="F18" s="3"/>
      <c r="G18" s="3"/>
      <c r="H18" s="6">
        <v>1000</v>
      </c>
      <c r="I18" s="3"/>
      <c r="J18" s="3"/>
      <c r="K18" s="3"/>
      <c r="L18" s="3"/>
      <c r="M18" s="3"/>
      <c r="N18" s="3"/>
      <c r="O18" s="3"/>
      <c r="P18" s="3"/>
    </row>
    <row r="19" spans="2:16" x14ac:dyDescent="0.2">
      <c r="B19" s="3" t="s">
        <v>9</v>
      </c>
      <c r="C19" s="3"/>
      <c r="D19" s="3"/>
      <c r="E19" s="3"/>
      <c r="F19" s="3"/>
      <c r="G19" s="3"/>
      <c r="H19" s="7">
        <v>0.05</v>
      </c>
      <c r="I19" s="3"/>
      <c r="J19" s="3"/>
      <c r="K19" s="3"/>
      <c r="L19" s="3"/>
      <c r="M19" s="3"/>
      <c r="N19" s="3"/>
      <c r="O19" s="3"/>
      <c r="P19" s="3"/>
    </row>
    <row r="20" spans="2:16" x14ac:dyDescent="0.2">
      <c r="B20" s="3"/>
      <c r="C20" s="3"/>
      <c r="D20" s="3"/>
      <c r="E20" s="3"/>
      <c r="F20" s="3"/>
      <c r="G20" s="3"/>
      <c r="H20" s="3"/>
      <c r="I20" s="3"/>
      <c r="J20" s="3"/>
      <c r="K20" s="3"/>
      <c r="L20" s="3"/>
      <c r="M20" s="3"/>
      <c r="N20" s="3"/>
      <c r="O20" s="3"/>
      <c r="P20" s="3"/>
    </row>
    <row r="21" spans="2:16" x14ac:dyDescent="0.2">
      <c r="B21" s="3" t="s">
        <v>45</v>
      </c>
      <c r="C21" s="3"/>
      <c r="D21" s="3"/>
      <c r="E21" s="3"/>
      <c r="F21" s="3"/>
      <c r="G21" s="3"/>
      <c r="H21" s="6">
        <v>12</v>
      </c>
      <c r="I21" s="3"/>
      <c r="J21" s="3"/>
      <c r="K21" s="3"/>
      <c r="L21" s="3"/>
      <c r="M21" s="3"/>
      <c r="N21" s="3"/>
      <c r="O21" s="3"/>
      <c r="P21" s="3"/>
    </row>
    <row r="22" spans="2:16" x14ac:dyDescent="0.2">
      <c r="B22" s="3"/>
      <c r="C22" s="3"/>
      <c r="D22" s="3"/>
      <c r="E22" s="3"/>
      <c r="F22" s="3"/>
      <c r="G22" s="3"/>
      <c r="H22" s="9"/>
      <c r="I22" s="3"/>
      <c r="J22" s="3"/>
      <c r="K22" s="3"/>
      <c r="L22" s="3"/>
      <c r="M22" s="3"/>
      <c r="N22" s="3"/>
      <c r="O22" s="3"/>
      <c r="P22" s="3"/>
    </row>
    <row r="23" spans="2:16" x14ac:dyDescent="0.2">
      <c r="B23" s="3" t="s">
        <v>4</v>
      </c>
      <c r="C23" s="3"/>
      <c r="D23" s="3"/>
      <c r="E23" s="3"/>
      <c r="F23" s="3"/>
      <c r="G23" s="3"/>
      <c r="H23" s="6">
        <v>1750</v>
      </c>
      <c r="I23" s="3"/>
      <c r="J23" s="3"/>
      <c r="K23" s="3"/>
      <c r="L23" s="3"/>
      <c r="M23" s="3"/>
      <c r="N23" s="3"/>
      <c r="O23" s="3"/>
      <c r="P23" s="3"/>
    </row>
    <row r="24" spans="2:16" x14ac:dyDescent="0.2">
      <c r="B24" s="3" t="s">
        <v>2</v>
      </c>
      <c r="C24" s="3"/>
      <c r="D24" s="3"/>
      <c r="E24" s="3"/>
      <c r="F24" s="3"/>
      <c r="G24" s="3"/>
      <c r="H24" s="7">
        <v>0</v>
      </c>
      <c r="I24" s="3"/>
      <c r="J24" s="3"/>
      <c r="K24" s="3"/>
      <c r="L24" s="3"/>
      <c r="M24" s="3"/>
      <c r="N24" s="3"/>
      <c r="O24" s="3"/>
      <c r="P24" s="3"/>
    </row>
    <row r="25" spans="2:16" ht="3" customHeight="1" thickBot="1" x14ac:dyDescent="0.25">
      <c r="B25" s="5"/>
      <c r="C25" s="5"/>
      <c r="D25" s="5"/>
      <c r="E25" s="5"/>
      <c r="F25" s="5"/>
      <c r="G25" s="5"/>
      <c r="H25" s="5"/>
      <c r="I25" s="3"/>
      <c r="J25" s="3"/>
      <c r="K25" s="3"/>
      <c r="L25" s="3"/>
      <c r="M25" s="3"/>
      <c r="N25" s="3"/>
      <c r="O25" s="3"/>
      <c r="P25" s="3"/>
    </row>
    <row r="26" spans="2:16" x14ac:dyDescent="0.2">
      <c r="B26" s="3"/>
      <c r="C26" s="3"/>
      <c r="D26" s="3"/>
      <c r="E26" s="3"/>
      <c r="F26" s="3"/>
      <c r="G26" s="3"/>
      <c r="H26" s="9"/>
      <c r="I26" s="3"/>
      <c r="J26" s="3"/>
      <c r="K26" s="3"/>
      <c r="L26" s="3"/>
      <c r="M26" s="3"/>
      <c r="N26" s="3"/>
      <c r="O26" s="3"/>
      <c r="P26" s="3"/>
    </row>
    <row r="27" spans="2:16" x14ac:dyDescent="0.2">
      <c r="B27" s="3"/>
      <c r="C27" s="3"/>
      <c r="D27" s="3"/>
      <c r="E27" s="3"/>
      <c r="F27" s="3"/>
      <c r="G27" s="3"/>
      <c r="H27" s="3"/>
      <c r="I27" s="3"/>
      <c r="J27" s="3"/>
      <c r="K27" s="3"/>
      <c r="L27" s="3"/>
      <c r="M27" s="3"/>
      <c r="N27" s="3"/>
      <c r="O27" s="3"/>
      <c r="P27" s="3"/>
    </row>
    <row r="28" spans="2:16" x14ac:dyDescent="0.2">
      <c r="B28" s="1" t="s">
        <v>28</v>
      </c>
      <c r="C28" s="3"/>
      <c r="D28" s="3"/>
      <c r="E28" s="3"/>
      <c r="F28" s="3"/>
      <c r="G28" s="3"/>
      <c r="H28" s="3"/>
      <c r="I28" s="3"/>
      <c r="J28" s="3"/>
      <c r="K28" s="3"/>
      <c r="L28" s="3"/>
      <c r="M28" s="3"/>
      <c r="N28" s="3"/>
      <c r="O28" s="3"/>
      <c r="P28" s="3"/>
    </row>
    <row r="29" spans="2:16" x14ac:dyDescent="0.2">
      <c r="B29" s="3"/>
      <c r="C29" s="3"/>
      <c r="D29" s="3"/>
      <c r="E29" s="3"/>
      <c r="F29" s="3"/>
      <c r="G29" s="3"/>
      <c r="H29" s="3"/>
      <c r="I29" s="3"/>
      <c r="J29" s="3"/>
      <c r="K29" s="3"/>
      <c r="L29" s="3"/>
      <c r="M29" s="3"/>
      <c r="N29" s="3"/>
      <c r="O29" s="3"/>
      <c r="P29" s="3"/>
    </row>
    <row r="30" spans="2:16" x14ac:dyDescent="0.2">
      <c r="B30" s="4" t="s">
        <v>36</v>
      </c>
      <c r="C30" s="3"/>
      <c r="D30" s="3"/>
      <c r="E30" s="3"/>
      <c r="F30" s="3"/>
      <c r="G30" s="3"/>
      <c r="H30" s="32">
        <f ca="1">+$H$4</f>
        <v>2019</v>
      </c>
      <c r="I30" s="3"/>
      <c r="J30" s="3"/>
      <c r="K30" s="3"/>
      <c r="L30" s="3"/>
      <c r="M30" s="3"/>
      <c r="N30" s="3"/>
      <c r="O30" s="3"/>
      <c r="P30" s="3"/>
    </row>
    <row r="31" spans="2:16" ht="3" customHeight="1" thickBot="1" x14ac:dyDescent="0.25">
      <c r="B31" s="5"/>
      <c r="C31" s="5"/>
      <c r="D31" s="5"/>
      <c r="E31" s="5"/>
      <c r="F31" s="5"/>
      <c r="G31" s="5"/>
      <c r="H31" s="2"/>
      <c r="I31" s="3"/>
      <c r="J31" s="3"/>
      <c r="K31" s="3"/>
      <c r="L31" s="3"/>
      <c r="M31" s="3"/>
      <c r="N31" s="3"/>
      <c r="O31" s="3"/>
      <c r="P31" s="3"/>
    </row>
    <row r="32" spans="2:16" x14ac:dyDescent="0.2">
      <c r="B32" s="3" t="s">
        <v>43</v>
      </c>
      <c r="C32" s="3"/>
      <c r="D32" s="3"/>
      <c r="E32" s="3"/>
      <c r="F32" s="3"/>
      <c r="G32" s="3"/>
      <c r="H32" s="6">
        <v>200</v>
      </c>
      <c r="I32" s="3"/>
      <c r="J32" s="3"/>
      <c r="K32" s="3"/>
      <c r="L32" s="3"/>
      <c r="M32" s="3"/>
      <c r="N32" s="3"/>
      <c r="O32" s="3"/>
      <c r="P32" s="3"/>
    </row>
    <row r="33" spans="2:16" x14ac:dyDescent="0.2">
      <c r="B33" s="3" t="s">
        <v>39</v>
      </c>
      <c r="C33" s="3"/>
      <c r="D33" s="3"/>
      <c r="E33" s="3"/>
      <c r="F33" s="3"/>
      <c r="G33" s="3"/>
      <c r="H33" s="7">
        <v>0.1</v>
      </c>
      <c r="I33" s="3"/>
      <c r="J33" s="3"/>
      <c r="K33" s="3"/>
      <c r="L33" s="3"/>
      <c r="M33" s="3"/>
      <c r="N33" s="3"/>
      <c r="O33" s="3"/>
      <c r="P33" s="3"/>
    </row>
    <row r="34" spans="2:16" x14ac:dyDescent="0.2">
      <c r="B34" s="3" t="s">
        <v>29</v>
      </c>
      <c r="C34" s="3"/>
      <c r="D34" s="3"/>
      <c r="E34" s="3"/>
      <c r="F34" s="3"/>
      <c r="G34" s="3"/>
      <c r="H34" s="7">
        <v>4.4999999999999998E-2</v>
      </c>
      <c r="I34" s="3"/>
      <c r="J34" s="3"/>
      <c r="K34" s="3"/>
      <c r="L34" s="3"/>
      <c r="M34" s="3"/>
      <c r="N34" s="3"/>
      <c r="O34" s="3"/>
      <c r="P34" s="3"/>
    </row>
    <row r="35" spans="2:16" x14ac:dyDescent="0.2">
      <c r="B35" s="3" t="s">
        <v>31</v>
      </c>
      <c r="C35" s="3"/>
      <c r="D35" s="3"/>
      <c r="E35" s="3"/>
      <c r="F35" s="3"/>
      <c r="G35" s="3"/>
      <c r="H35" s="6">
        <v>250</v>
      </c>
      <c r="I35" s="3"/>
      <c r="J35" s="3"/>
      <c r="K35" s="3"/>
      <c r="L35" s="3"/>
      <c r="M35" s="3"/>
      <c r="N35" s="3"/>
      <c r="O35" s="3"/>
      <c r="P35" s="3"/>
    </row>
    <row r="36" spans="2:16" x14ac:dyDescent="0.2">
      <c r="B36" s="3"/>
      <c r="C36" s="3"/>
      <c r="D36" s="3"/>
      <c r="E36" s="3"/>
      <c r="F36" s="3"/>
      <c r="G36" s="3"/>
      <c r="H36" s="3"/>
      <c r="I36" s="3"/>
      <c r="J36" s="3"/>
      <c r="K36" s="3"/>
      <c r="L36" s="3"/>
      <c r="M36" s="3"/>
      <c r="N36" s="3"/>
      <c r="O36" s="3"/>
      <c r="P36" s="3"/>
    </row>
    <row r="37" spans="2:16" x14ac:dyDescent="0.2">
      <c r="B37" s="3" t="s">
        <v>6</v>
      </c>
      <c r="C37" s="3"/>
      <c r="D37" s="3"/>
      <c r="E37" s="3"/>
      <c r="F37" s="3"/>
      <c r="G37" s="3"/>
      <c r="H37" s="7">
        <v>0.4</v>
      </c>
      <c r="I37" s="3"/>
      <c r="J37" s="3"/>
      <c r="K37" s="3"/>
      <c r="L37" s="3"/>
      <c r="M37" s="3"/>
      <c r="N37" s="3"/>
      <c r="O37" s="3"/>
      <c r="P37" s="3"/>
    </row>
    <row r="38" spans="2:16" ht="3" customHeight="1" thickBot="1" x14ac:dyDescent="0.25">
      <c r="B38" s="5"/>
      <c r="C38" s="5"/>
      <c r="D38" s="5"/>
      <c r="E38" s="5"/>
      <c r="F38" s="5"/>
      <c r="G38" s="5"/>
      <c r="H38" s="11"/>
      <c r="I38" s="3"/>
      <c r="J38" s="3"/>
      <c r="K38" s="3"/>
      <c r="L38" s="3"/>
      <c r="M38" s="3"/>
      <c r="N38" s="3"/>
      <c r="O38" s="3"/>
      <c r="P38" s="3"/>
    </row>
    <row r="39" spans="2:16" x14ac:dyDescent="0.2">
      <c r="B39" s="3"/>
      <c r="C39" s="3"/>
      <c r="D39" s="3"/>
      <c r="E39" s="3"/>
      <c r="F39" s="3"/>
      <c r="G39" s="3"/>
      <c r="H39" s="3"/>
      <c r="I39" s="3"/>
      <c r="J39" s="3"/>
      <c r="K39" s="3"/>
      <c r="L39" s="3"/>
      <c r="M39" s="3"/>
      <c r="N39" s="3"/>
      <c r="O39" s="3"/>
      <c r="P39" s="3"/>
    </row>
    <row r="40" spans="2:16" x14ac:dyDescent="0.2">
      <c r="B40" s="3"/>
      <c r="C40" s="3"/>
      <c r="D40" s="3"/>
      <c r="E40" s="3"/>
      <c r="F40" s="3"/>
      <c r="G40" s="3"/>
      <c r="H40" s="3"/>
      <c r="I40" s="3"/>
      <c r="J40" s="3"/>
      <c r="K40" s="3"/>
      <c r="L40" s="3"/>
      <c r="M40" s="3"/>
      <c r="N40" s="3"/>
      <c r="O40" s="3"/>
      <c r="P40" s="3"/>
    </row>
    <row r="41" spans="2:16" x14ac:dyDescent="0.2">
      <c r="B41" s="1" t="s">
        <v>10</v>
      </c>
      <c r="C41" s="3"/>
      <c r="D41" s="3"/>
      <c r="E41" s="3"/>
      <c r="F41" s="3"/>
      <c r="G41" s="3"/>
      <c r="H41" s="3"/>
      <c r="I41" s="3"/>
      <c r="J41" s="3"/>
      <c r="K41" s="3"/>
      <c r="L41" s="3"/>
      <c r="M41" s="3"/>
      <c r="N41" s="3"/>
      <c r="O41" s="3"/>
      <c r="P41" s="3"/>
    </row>
    <row r="42" spans="2:16" x14ac:dyDescent="0.2">
      <c r="B42" s="3"/>
      <c r="C42" s="3"/>
      <c r="D42" s="3"/>
      <c r="E42" s="3"/>
      <c r="F42" s="3"/>
      <c r="G42" s="3"/>
      <c r="H42" s="3"/>
      <c r="I42" s="3"/>
      <c r="J42" s="3"/>
      <c r="K42" s="3"/>
      <c r="L42" s="3"/>
      <c r="M42" s="3"/>
      <c r="N42" s="3"/>
      <c r="O42" s="3"/>
      <c r="P42" s="3"/>
    </row>
    <row r="43" spans="2:16" x14ac:dyDescent="0.2">
      <c r="B43" s="4" t="s">
        <v>36</v>
      </c>
      <c r="C43" s="3"/>
      <c r="D43" s="3"/>
      <c r="E43" s="3"/>
      <c r="F43" s="3"/>
      <c r="G43" s="3"/>
      <c r="H43" s="32">
        <f ca="1">+$H$4</f>
        <v>2019</v>
      </c>
      <c r="I43" s="3"/>
      <c r="J43" s="3"/>
      <c r="K43" s="3"/>
      <c r="L43" s="3"/>
      <c r="M43" s="3"/>
      <c r="N43" s="3"/>
      <c r="O43" s="3"/>
      <c r="P43" s="3"/>
    </row>
    <row r="44" spans="2:16" ht="3" customHeight="1" thickBot="1" x14ac:dyDescent="0.25">
      <c r="B44" s="5"/>
      <c r="C44" s="5"/>
      <c r="D44" s="5"/>
      <c r="E44" s="5"/>
      <c r="F44" s="5"/>
      <c r="G44" s="5"/>
      <c r="H44" s="5"/>
      <c r="I44" s="3"/>
      <c r="J44" s="3"/>
      <c r="K44" s="3"/>
      <c r="L44" s="3"/>
      <c r="M44" s="3"/>
      <c r="N44" s="3"/>
      <c r="O44" s="3"/>
      <c r="P44" s="3"/>
    </row>
    <row r="45" spans="2:16" x14ac:dyDescent="0.2">
      <c r="B45" s="3" t="s">
        <v>11</v>
      </c>
      <c r="C45" s="3"/>
      <c r="D45" s="3"/>
      <c r="E45" s="3"/>
      <c r="F45" s="3"/>
      <c r="G45" s="3"/>
      <c r="H45" s="6">
        <v>1500</v>
      </c>
      <c r="I45" s="3"/>
      <c r="J45" s="3"/>
      <c r="K45" s="3"/>
      <c r="L45" s="3"/>
      <c r="M45" s="3"/>
      <c r="N45" s="3"/>
      <c r="O45" s="3"/>
      <c r="P45" s="3"/>
    </row>
    <row r="46" spans="2:16" x14ac:dyDescent="0.2">
      <c r="B46" s="3" t="s">
        <v>12</v>
      </c>
      <c r="C46" s="3"/>
      <c r="D46" s="3"/>
      <c r="E46" s="3"/>
      <c r="F46" s="3"/>
      <c r="G46" s="3"/>
      <c r="H46" s="10">
        <v>2800</v>
      </c>
      <c r="I46" s="3"/>
      <c r="J46" s="3"/>
      <c r="K46" s="3"/>
      <c r="L46" s="3"/>
      <c r="M46" s="3"/>
      <c r="N46" s="3"/>
      <c r="O46" s="3"/>
      <c r="P46" s="3"/>
    </row>
    <row r="47" spans="2:16" x14ac:dyDescent="0.2">
      <c r="B47" s="3" t="s">
        <v>13</v>
      </c>
      <c r="C47" s="3"/>
      <c r="D47" s="3"/>
      <c r="E47" s="3"/>
      <c r="F47" s="3"/>
      <c r="G47" s="3"/>
      <c r="H47" s="10">
        <v>2000</v>
      </c>
      <c r="I47" s="3"/>
      <c r="J47" s="3"/>
      <c r="K47" s="3"/>
      <c r="L47" s="3"/>
      <c r="M47" s="3"/>
      <c r="N47" s="3"/>
      <c r="O47" s="3"/>
      <c r="P47" s="3"/>
    </row>
    <row r="48" spans="2:16" x14ac:dyDescent="0.2">
      <c r="B48" s="12" t="s">
        <v>14</v>
      </c>
      <c r="C48" s="12"/>
      <c r="D48" s="12"/>
      <c r="E48" s="12"/>
      <c r="F48" s="12"/>
      <c r="G48" s="12"/>
      <c r="H48" s="15">
        <v>100</v>
      </c>
      <c r="I48" s="3"/>
      <c r="J48" s="3"/>
      <c r="K48" s="3"/>
      <c r="L48" s="3"/>
      <c r="M48" s="3"/>
      <c r="N48" s="3"/>
      <c r="O48" s="3"/>
      <c r="P48" s="3"/>
    </row>
    <row r="49" spans="2:16" x14ac:dyDescent="0.2">
      <c r="B49" s="3" t="s">
        <v>15</v>
      </c>
      <c r="C49" s="3"/>
      <c r="D49" s="3"/>
      <c r="E49" s="3"/>
      <c r="F49" s="3"/>
      <c r="G49" s="3"/>
      <c r="H49" s="6">
        <f>SUM(H45:H48)</f>
        <v>6400</v>
      </c>
      <c r="I49" s="3"/>
      <c r="J49" s="3"/>
      <c r="K49" s="3"/>
      <c r="L49" s="3"/>
      <c r="M49" s="3"/>
      <c r="N49" s="3"/>
      <c r="O49" s="3"/>
      <c r="P49" s="3"/>
    </row>
    <row r="50" spans="2:16" x14ac:dyDescent="0.2">
      <c r="B50" s="3"/>
      <c r="C50" s="3"/>
      <c r="D50" s="3"/>
      <c r="E50" s="3"/>
      <c r="F50" s="3"/>
      <c r="G50" s="3"/>
      <c r="H50" s="16"/>
      <c r="I50" s="3"/>
      <c r="J50" s="3"/>
      <c r="K50" s="3"/>
      <c r="L50" s="3"/>
      <c r="M50" s="3"/>
      <c r="N50" s="3"/>
      <c r="O50" s="3"/>
      <c r="P50" s="3"/>
    </row>
    <row r="51" spans="2:16" x14ac:dyDescent="0.2">
      <c r="B51" s="3" t="s">
        <v>16</v>
      </c>
      <c r="C51" s="3"/>
      <c r="D51" s="3"/>
      <c r="E51" s="3"/>
      <c r="F51" s="3"/>
      <c r="G51" s="3"/>
      <c r="H51" s="6">
        <v>12900</v>
      </c>
      <c r="I51" s="3"/>
      <c r="J51" s="3"/>
      <c r="K51" s="3"/>
      <c r="L51" s="3"/>
      <c r="M51" s="3"/>
      <c r="N51" s="3"/>
      <c r="O51" s="3"/>
      <c r="P51" s="3"/>
    </row>
    <row r="52" spans="2:16" x14ac:dyDescent="0.2">
      <c r="B52" s="12" t="s">
        <v>17</v>
      </c>
      <c r="C52" s="12"/>
      <c r="D52" s="12"/>
      <c r="E52" s="12"/>
      <c r="F52" s="12"/>
      <c r="G52" s="12"/>
      <c r="H52" s="15">
        <v>-3000</v>
      </c>
      <c r="I52" s="3"/>
      <c r="J52" s="3"/>
      <c r="K52" s="3"/>
      <c r="L52" s="3"/>
      <c r="M52" s="3"/>
      <c r="N52" s="3"/>
      <c r="O52" s="3"/>
      <c r="P52" s="3"/>
    </row>
    <row r="53" spans="2:16" x14ac:dyDescent="0.2">
      <c r="B53" s="3" t="s">
        <v>18</v>
      </c>
      <c r="C53" s="3"/>
      <c r="D53" s="3"/>
      <c r="E53" s="3"/>
      <c r="F53" s="3"/>
      <c r="G53" s="3"/>
      <c r="H53" s="6">
        <f>SUM(H51:H52)</f>
        <v>9900</v>
      </c>
      <c r="I53" s="3"/>
      <c r="J53" s="3"/>
      <c r="K53" s="3"/>
      <c r="L53" s="3"/>
      <c r="M53" s="3"/>
      <c r="N53" s="3"/>
      <c r="O53" s="3"/>
      <c r="P53" s="3"/>
    </row>
    <row r="54" spans="2:16" x14ac:dyDescent="0.2">
      <c r="B54" s="3"/>
      <c r="C54" s="3"/>
      <c r="D54" s="3"/>
      <c r="E54" s="3"/>
      <c r="F54" s="3"/>
      <c r="G54" s="3"/>
      <c r="H54" s="16"/>
      <c r="I54" s="3"/>
      <c r="J54" s="3"/>
      <c r="K54" s="3"/>
      <c r="L54" s="3"/>
      <c r="M54" s="3"/>
      <c r="N54" s="3"/>
      <c r="O54" s="3"/>
      <c r="P54" s="3"/>
    </row>
    <row r="55" spans="2:16" x14ac:dyDescent="0.2">
      <c r="B55" s="3" t="s">
        <v>32</v>
      </c>
      <c r="C55" s="3"/>
      <c r="D55" s="3"/>
      <c r="E55" s="3"/>
      <c r="F55" s="3"/>
      <c r="G55" s="3"/>
      <c r="H55" s="6">
        <v>150</v>
      </c>
      <c r="I55" s="3"/>
      <c r="J55" s="3"/>
      <c r="K55" s="3"/>
      <c r="L55" s="3"/>
      <c r="M55" s="3"/>
      <c r="N55" s="3"/>
      <c r="O55" s="3"/>
      <c r="P55" s="3"/>
    </row>
    <row r="56" spans="2:16" x14ac:dyDescent="0.2">
      <c r="B56" s="12" t="s">
        <v>19</v>
      </c>
      <c r="C56" s="12"/>
      <c r="D56" s="12"/>
      <c r="E56" s="12"/>
      <c r="F56" s="12"/>
      <c r="G56" s="12"/>
      <c r="H56" s="15">
        <v>500</v>
      </c>
      <c r="I56" s="3"/>
      <c r="J56" s="3"/>
      <c r="K56" s="3"/>
      <c r="L56" s="3"/>
      <c r="M56" s="3"/>
      <c r="N56" s="3"/>
      <c r="O56" s="3"/>
      <c r="P56" s="3"/>
    </row>
    <row r="57" spans="2:16" x14ac:dyDescent="0.2">
      <c r="B57" s="3" t="s">
        <v>25</v>
      </c>
      <c r="C57" s="3"/>
      <c r="D57" s="3"/>
      <c r="E57" s="3"/>
      <c r="F57" s="3"/>
      <c r="G57" s="3"/>
      <c r="H57" s="6">
        <f>+SUM(H55:H56,H53,H49)</f>
        <v>16950</v>
      </c>
      <c r="I57" s="3"/>
      <c r="J57" s="3"/>
      <c r="K57" s="3"/>
      <c r="L57" s="3"/>
      <c r="M57" s="3"/>
      <c r="N57" s="3"/>
      <c r="O57" s="3"/>
      <c r="P57" s="3"/>
    </row>
    <row r="58" spans="2:16" x14ac:dyDescent="0.2">
      <c r="B58" s="3"/>
      <c r="C58" s="3"/>
      <c r="D58" s="3"/>
      <c r="E58" s="3"/>
      <c r="F58" s="3"/>
      <c r="G58" s="3"/>
      <c r="H58" s="16"/>
      <c r="I58" s="3"/>
      <c r="J58" s="3"/>
      <c r="K58" s="3"/>
      <c r="L58" s="3"/>
      <c r="M58" s="3"/>
      <c r="N58" s="3"/>
      <c r="O58" s="3"/>
      <c r="P58" s="3"/>
    </row>
    <row r="59" spans="2:16" x14ac:dyDescent="0.2">
      <c r="B59" s="3" t="s">
        <v>20</v>
      </c>
      <c r="C59" s="3"/>
      <c r="D59" s="3"/>
      <c r="E59" s="3"/>
      <c r="F59" s="3"/>
      <c r="G59" s="3"/>
      <c r="H59" s="6">
        <v>1200</v>
      </c>
      <c r="I59" s="3"/>
      <c r="J59" s="3"/>
      <c r="K59" s="3"/>
      <c r="L59" s="3"/>
      <c r="M59" s="3"/>
      <c r="N59" s="3"/>
      <c r="O59" s="3"/>
      <c r="P59" s="3"/>
    </row>
    <row r="60" spans="2:16" x14ac:dyDescent="0.2">
      <c r="B60" s="3" t="s">
        <v>21</v>
      </c>
      <c r="C60" s="3"/>
      <c r="D60" s="3"/>
      <c r="E60" s="3"/>
      <c r="F60" s="3"/>
      <c r="G60" s="3"/>
      <c r="H60" s="10">
        <v>400</v>
      </c>
      <c r="I60" s="3"/>
      <c r="J60" s="3"/>
      <c r="K60" s="3"/>
      <c r="L60" s="3"/>
      <c r="M60" s="3"/>
      <c r="N60" s="3"/>
      <c r="O60" s="3"/>
      <c r="P60" s="3"/>
    </row>
    <row r="61" spans="2:16" x14ac:dyDescent="0.2">
      <c r="B61" s="3" t="s">
        <v>22</v>
      </c>
      <c r="C61" s="3"/>
      <c r="D61" s="3"/>
      <c r="E61" s="3"/>
      <c r="F61" s="3"/>
      <c r="G61" s="3"/>
      <c r="H61" s="10">
        <v>350</v>
      </c>
      <c r="I61" s="3"/>
      <c r="J61" s="3"/>
      <c r="K61" s="3"/>
      <c r="L61" s="3"/>
      <c r="M61" s="3"/>
      <c r="N61" s="3"/>
      <c r="O61" s="3"/>
      <c r="P61" s="3"/>
    </row>
    <row r="62" spans="2:16" x14ac:dyDescent="0.2">
      <c r="B62" s="12" t="s">
        <v>23</v>
      </c>
      <c r="C62" s="12"/>
      <c r="D62" s="12"/>
      <c r="E62" s="12"/>
      <c r="F62" s="12"/>
      <c r="G62" s="12"/>
      <c r="H62" s="15">
        <v>200</v>
      </c>
      <c r="I62" s="3"/>
      <c r="J62" s="3"/>
      <c r="K62" s="3"/>
      <c r="L62" s="3"/>
      <c r="M62" s="3"/>
      <c r="N62" s="3"/>
      <c r="O62" s="3"/>
      <c r="P62" s="3"/>
    </row>
    <row r="63" spans="2:16" x14ac:dyDescent="0.2">
      <c r="B63" s="3" t="s">
        <v>24</v>
      </c>
      <c r="C63" s="3"/>
      <c r="D63" s="3"/>
      <c r="E63" s="3"/>
      <c r="F63" s="3"/>
      <c r="G63" s="3"/>
      <c r="H63" s="6">
        <f>SUM(H59:H62)</f>
        <v>2150</v>
      </c>
      <c r="I63" s="3"/>
      <c r="J63" s="3"/>
      <c r="K63" s="3"/>
      <c r="L63" s="3"/>
      <c r="M63" s="3"/>
      <c r="N63" s="3"/>
      <c r="O63" s="3"/>
      <c r="P63" s="3"/>
    </row>
    <row r="64" spans="2:16" x14ac:dyDescent="0.2">
      <c r="B64" s="3"/>
      <c r="C64" s="3"/>
      <c r="D64" s="3"/>
      <c r="E64" s="3"/>
      <c r="F64" s="3"/>
      <c r="G64" s="3"/>
      <c r="H64" s="16"/>
      <c r="I64" s="3"/>
      <c r="J64" s="3"/>
      <c r="K64" s="3"/>
      <c r="L64" s="3"/>
      <c r="M64" s="3"/>
      <c r="N64" s="3"/>
      <c r="O64" s="3"/>
      <c r="P64" s="3"/>
    </row>
    <row r="65" spans="2:16" x14ac:dyDescent="0.2">
      <c r="B65" s="3" t="s">
        <v>44</v>
      </c>
      <c r="C65" s="3"/>
      <c r="D65" s="3"/>
      <c r="E65" s="3"/>
      <c r="F65" s="3"/>
      <c r="G65" s="3"/>
      <c r="H65" s="10">
        <v>8000</v>
      </c>
      <c r="I65" s="3"/>
      <c r="J65" s="3"/>
      <c r="K65" s="3"/>
      <c r="L65" s="3"/>
      <c r="M65" s="3"/>
      <c r="N65" s="3"/>
      <c r="O65" s="3"/>
      <c r="P65" s="3"/>
    </row>
    <row r="66" spans="2:16" x14ac:dyDescent="0.2">
      <c r="B66" s="12" t="s">
        <v>34</v>
      </c>
      <c r="C66" s="12"/>
      <c r="D66" s="12"/>
      <c r="E66" s="12"/>
      <c r="F66" s="12"/>
      <c r="G66" s="12"/>
      <c r="H66" s="15">
        <v>400</v>
      </c>
      <c r="I66" s="3"/>
      <c r="J66" s="3"/>
      <c r="K66" s="3"/>
      <c r="L66" s="3"/>
      <c r="M66" s="3"/>
      <c r="N66" s="3"/>
      <c r="O66" s="3"/>
      <c r="P66" s="3"/>
    </row>
    <row r="67" spans="2:16" x14ac:dyDescent="0.2">
      <c r="B67" s="3" t="s">
        <v>26</v>
      </c>
      <c r="C67" s="3"/>
      <c r="D67" s="3"/>
      <c r="E67" s="3"/>
      <c r="F67" s="3"/>
      <c r="G67" s="3"/>
      <c r="H67" s="6">
        <f>+SUM(H65:H66,H63)</f>
        <v>10550</v>
      </c>
      <c r="I67" s="3"/>
      <c r="J67" s="3"/>
      <c r="K67" s="3"/>
      <c r="L67" s="3"/>
      <c r="M67" s="3"/>
      <c r="N67" s="3"/>
      <c r="O67" s="3"/>
      <c r="P67" s="3"/>
    </row>
    <row r="68" spans="2:16" x14ac:dyDescent="0.2">
      <c r="B68" s="3"/>
      <c r="C68" s="3"/>
      <c r="D68" s="3"/>
      <c r="E68" s="3"/>
      <c r="F68" s="3"/>
      <c r="G68" s="3"/>
      <c r="H68" s="16"/>
      <c r="I68" s="3"/>
      <c r="J68" s="3"/>
      <c r="K68" s="3"/>
      <c r="L68" s="3"/>
      <c r="M68" s="3"/>
      <c r="N68" s="3"/>
      <c r="O68" s="3"/>
      <c r="P68" s="3"/>
    </row>
    <row r="69" spans="2:16" x14ac:dyDescent="0.2">
      <c r="B69" s="3" t="s">
        <v>35</v>
      </c>
      <c r="C69" s="3"/>
      <c r="D69" s="3"/>
      <c r="E69" s="3"/>
      <c r="F69" s="3"/>
      <c r="G69" s="3"/>
      <c r="H69" s="6">
        <v>6400</v>
      </c>
      <c r="I69" s="3"/>
      <c r="J69" s="3"/>
      <c r="K69" s="3"/>
      <c r="L69" s="3"/>
      <c r="M69" s="3"/>
      <c r="N69" s="3"/>
      <c r="O69" s="3"/>
      <c r="P69" s="3"/>
    </row>
    <row r="70" spans="2:16" x14ac:dyDescent="0.2">
      <c r="B70" s="3"/>
      <c r="C70" s="3"/>
      <c r="D70" s="3"/>
      <c r="E70" s="3"/>
      <c r="F70" s="3"/>
      <c r="G70" s="3"/>
      <c r="H70" s="16"/>
      <c r="I70" s="3"/>
      <c r="J70" s="3"/>
      <c r="K70" s="3"/>
      <c r="L70" s="3"/>
      <c r="M70" s="3"/>
      <c r="N70" s="3"/>
      <c r="O70" s="3"/>
      <c r="P70" s="3"/>
    </row>
    <row r="71" spans="2:16" x14ac:dyDescent="0.2">
      <c r="B71" s="3" t="s">
        <v>27</v>
      </c>
      <c r="C71" s="3"/>
      <c r="D71" s="3"/>
      <c r="E71" s="3"/>
      <c r="F71" s="3"/>
      <c r="G71" s="3"/>
      <c r="H71" s="6">
        <f>+SUM(H69,H67)</f>
        <v>16950</v>
      </c>
      <c r="I71" s="3"/>
      <c r="J71" s="3"/>
      <c r="K71" s="3"/>
      <c r="L71" s="3"/>
      <c r="M71" s="3"/>
      <c r="N71" s="3"/>
      <c r="O71" s="3"/>
      <c r="P71" s="3"/>
    </row>
    <row r="72" spans="2:16" ht="3" customHeight="1" thickBot="1" x14ac:dyDescent="0.25">
      <c r="B72" s="5"/>
      <c r="C72" s="5"/>
      <c r="D72" s="5"/>
      <c r="E72" s="5"/>
      <c r="F72" s="5"/>
      <c r="G72" s="5"/>
      <c r="H72" s="14"/>
      <c r="I72" s="3"/>
      <c r="J72" s="3"/>
      <c r="K72" s="3"/>
      <c r="L72" s="3"/>
      <c r="M72" s="3"/>
      <c r="N72" s="3"/>
      <c r="O72" s="3"/>
      <c r="P72" s="3"/>
    </row>
    <row r="73" spans="2:16" x14ac:dyDescent="0.2">
      <c r="B73" s="3"/>
      <c r="C73" s="3"/>
      <c r="D73" s="3"/>
      <c r="E73" s="3"/>
      <c r="F73" s="3"/>
      <c r="G73" s="3"/>
      <c r="H73" s="13"/>
      <c r="I73" s="3"/>
      <c r="J73" s="3"/>
      <c r="K73" s="3"/>
      <c r="L73" s="3"/>
      <c r="M73" s="3"/>
      <c r="N73" s="3"/>
      <c r="O73" s="3"/>
      <c r="P73" s="3"/>
    </row>
    <row r="74" spans="2:16" x14ac:dyDescent="0.2">
      <c r="B74" s="3"/>
      <c r="C74" s="3"/>
      <c r="D74" s="3"/>
      <c r="E74" s="3"/>
      <c r="F74" s="3"/>
      <c r="G74" s="3"/>
      <c r="H74" s="13"/>
      <c r="I74" s="3"/>
      <c r="J74" s="3"/>
      <c r="K74" s="3"/>
      <c r="L74" s="3"/>
      <c r="M74" s="3"/>
      <c r="N74" s="3"/>
      <c r="O74" s="3"/>
      <c r="P74" s="3"/>
    </row>
    <row r="75" spans="2:16" x14ac:dyDescent="0.2">
      <c r="B75" s="3"/>
      <c r="C75" s="3"/>
      <c r="D75" s="3"/>
      <c r="E75" s="3"/>
      <c r="F75" s="3"/>
      <c r="G75" s="3"/>
      <c r="H75" s="13"/>
      <c r="I75" s="3"/>
      <c r="J75" s="3"/>
      <c r="K75" s="3"/>
      <c r="L75" s="3"/>
      <c r="M75" s="3"/>
      <c r="N75" s="3"/>
      <c r="O75" s="3"/>
      <c r="P75" s="3"/>
    </row>
    <row r="76" spans="2:16" x14ac:dyDescent="0.2">
      <c r="B76" s="3"/>
      <c r="C76" s="3"/>
      <c r="D76" s="3"/>
      <c r="E76" s="3"/>
      <c r="F76" s="3"/>
      <c r="G76" s="3"/>
      <c r="H76" s="13"/>
      <c r="I76" s="3"/>
      <c r="J76" s="3"/>
      <c r="K76" s="3"/>
      <c r="L76" s="3"/>
      <c r="M76" s="3"/>
      <c r="N76" s="3"/>
      <c r="O76" s="3"/>
      <c r="P76" s="3"/>
    </row>
    <row r="77" spans="2:16" x14ac:dyDescent="0.2">
      <c r="B77" s="3"/>
      <c r="C77" s="3"/>
      <c r="D77" s="3"/>
      <c r="E77" s="3"/>
      <c r="F77" s="3"/>
      <c r="G77" s="3"/>
      <c r="H77" s="13"/>
      <c r="I77" s="3"/>
      <c r="J77" s="3"/>
      <c r="K77" s="3"/>
      <c r="L77" s="3"/>
      <c r="M77" s="3"/>
      <c r="N77" s="3"/>
      <c r="O77" s="3"/>
      <c r="P77" s="3"/>
    </row>
    <row r="78" spans="2:16" x14ac:dyDescent="0.2">
      <c r="B78" s="3"/>
      <c r="C78" s="3"/>
      <c r="D78" s="3"/>
      <c r="E78" s="3"/>
      <c r="F78" s="3"/>
      <c r="G78" s="3"/>
      <c r="H78" s="13"/>
      <c r="I78" s="3"/>
      <c r="J78" s="3"/>
      <c r="K78" s="3"/>
      <c r="L78" s="3"/>
      <c r="M78" s="3"/>
      <c r="N78" s="3"/>
      <c r="O78" s="3"/>
      <c r="P78" s="3"/>
    </row>
    <row r="79" spans="2:16" x14ac:dyDescent="0.2">
      <c r="B79" s="3"/>
      <c r="C79" s="3"/>
      <c r="D79" s="3"/>
      <c r="E79" s="3"/>
      <c r="F79" s="3"/>
      <c r="G79" s="3"/>
      <c r="H79" s="13"/>
      <c r="I79" s="3"/>
      <c r="J79" s="3"/>
      <c r="K79" s="3"/>
      <c r="L79" s="3"/>
      <c r="M79" s="3"/>
      <c r="N79" s="3"/>
      <c r="O79" s="3"/>
      <c r="P79" s="3"/>
    </row>
    <row r="80" spans="2:16" x14ac:dyDescent="0.2">
      <c r="B80" s="3"/>
      <c r="C80" s="3"/>
      <c r="D80" s="3"/>
      <c r="E80" s="3"/>
      <c r="F80" s="3"/>
      <c r="G80" s="3"/>
      <c r="H80" s="13"/>
      <c r="I80" s="3"/>
      <c r="J80" s="3"/>
      <c r="K80" s="3"/>
      <c r="L80" s="3"/>
      <c r="M80" s="3"/>
      <c r="N80" s="3"/>
      <c r="O80" s="3"/>
      <c r="P80" s="3"/>
    </row>
    <row r="81" spans="2:16" x14ac:dyDescent="0.2">
      <c r="B81" s="3"/>
      <c r="C81" s="3"/>
      <c r="D81" s="3"/>
      <c r="E81" s="3"/>
      <c r="F81" s="3"/>
      <c r="G81" s="3"/>
      <c r="H81" s="13"/>
      <c r="I81" s="3"/>
      <c r="J81" s="3"/>
      <c r="K81" s="3"/>
      <c r="L81" s="3"/>
      <c r="M81" s="3"/>
      <c r="N81" s="3"/>
      <c r="O81" s="3"/>
      <c r="P81" s="3"/>
    </row>
  </sheetData>
  <phoneticPr fontId="0" type="noConversion"/>
  <pageMargins left="0.25" right="0.25" top="0.25" bottom="0.25" header="0.3" footer="0.3"/>
  <pageSetup orientation="landscape" r:id="rId1"/>
  <headerFooter alignWithMargins="0"/>
  <rowBreaks count="2" manualBreakCount="2">
    <brk id="27" min="1" max="7" man="1"/>
    <brk id="40"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tabColor theme="2"/>
  </sheetPr>
  <dimension ref="A1"/>
  <sheetViews>
    <sheetView showGridLines="0" zoomScaleNormal="100" workbookViewId="0"/>
  </sheetViews>
  <sheetFormatPr defaultRowHeight="12.75"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theme="2"/>
  </sheetPr>
  <dimension ref="B2:P102"/>
  <sheetViews>
    <sheetView showGridLines="0" view="pageBreakPreview" zoomScaleNormal="85" zoomScaleSheetLayoutView="100" workbookViewId="0">
      <selection activeCell="H75" sqref="H75"/>
    </sheetView>
  </sheetViews>
  <sheetFormatPr defaultRowHeight="12.75" x14ac:dyDescent="0.2"/>
  <cols>
    <col min="2" max="2" width="9.140625" customWidth="1"/>
    <col min="8" max="13" width="15.28515625" style="39" bestFit="1" customWidth="1"/>
  </cols>
  <sheetData>
    <row r="2" spans="2:16" x14ac:dyDescent="0.2">
      <c r="B2" s="1" t="s">
        <v>40</v>
      </c>
      <c r="C2" s="3"/>
      <c r="D2" s="3"/>
      <c r="E2" s="3"/>
      <c r="F2" s="3"/>
      <c r="G2" s="3"/>
      <c r="H2" s="13"/>
      <c r="I2" s="13"/>
      <c r="J2" s="13"/>
      <c r="K2" s="13"/>
      <c r="L2" s="13"/>
      <c r="M2" s="13"/>
      <c r="N2" s="3"/>
      <c r="O2" s="3"/>
      <c r="P2" s="3"/>
    </row>
    <row r="3" spans="2:16" x14ac:dyDescent="0.2">
      <c r="B3" s="3"/>
      <c r="C3" s="3"/>
      <c r="D3" s="3"/>
      <c r="E3" s="3"/>
      <c r="F3" s="3"/>
      <c r="G3" s="3"/>
      <c r="H3" s="37" t="s">
        <v>42</v>
      </c>
      <c r="I3" s="37"/>
      <c r="J3" s="37"/>
      <c r="K3" s="37"/>
      <c r="L3" s="37"/>
      <c r="M3" s="37"/>
      <c r="N3" s="3"/>
      <c r="O3" s="3"/>
      <c r="P3" s="3"/>
    </row>
    <row r="4" spans="2:16" x14ac:dyDescent="0.2">
      <c r="B4" s="4" t="s">
        <v>36</v>
      </c>
      <c r="C4" s="3"/>
      <c r="D4" s="3"/>
      <c r="E4" s="3"/>
      <c r="F4" s="3"/>
      <c r="G4" s="3"/>
      <c r="H4" s="41">
        <f ca="1">+YEAR(TODAY())-1</f>
        <v>2019</v>
      </c>
      <c r="I4" s="41">
        <f ca="1">+H4+1</f>
        <v>2020</v>
      </c>
      <c r="J4" s="41">
        <f ca="1">+I4+1</f>
        <v>2021</v>
      </c>
      <c r="K4" s="41">
        <f ca="1">+J4+1</f>
        <v>2022</v>
      </c>
      <c r="L4" s="41">
        <f ca="1">+K4+1</f>
        <v>2023</v>
      </c>
      <c r="M4" s="41">
        <f ca="1">+L4+1</f>
        <v>2024</v>
      </c>
      <c r="N4" s="3"/>
      <c r="O4" s="3"/>
      <c r="P4" s="3"/>
    </row>
    <row r="5" spans="2:16" ht="3" customHeight="1" thickBot="1" x14ac:dyDescent="0.25">
      <c r="B5" s="5"/>
      <c r="C5" s="5"/>
      <c r="D5" s="5"/>
      <c r="E5" s="5"/>
      <c r="F5" s="5"/>
      <c r="G5" s="5"/>
      <c r="H5" s="38"/>
      <c r="I5" s="38"/>
      <c r="J5" s="38"/>
      <c r="K5" s="38"/>
      <c r="L5" s="38"/>
      <c r="M5" s="38"/>
      <c r="N5" s="3"/>
      <c r="O5" s="3"/>
      <c r="P5" s="3"/>
    </row>
    <row r="6" spans="2:16" x14ac:dyDescent="0.2">
      <c r="B6" s="3" t="s">
        <v>48</v>
      </c>
      <c r="H6" s="39">
        <f>'Operating Assumptions'!H6</f>
        <v>20000</v>
      </c>
      <c r="I6" s="39">
        <f>H6*(1+'Operating Assumptions'!$H$7)</f>
        <v>22000</v>
      </c>
      <c r="J6" s="39">
        <f>I6*(1+'Operating Assumptions'!$H$7)</f>
        <v>24200.000000000004</v>
      </c>
      <c r="K6" s="39">
        <f>J6*(1+'Operating Assumptions'!$H$7)</f>
        <v>26620.000000000007</v>
      </c>
      <c r="L6" s="39">
        <f>K6*(1+'Operating Assumptions'!$H$7)</f>
        <v>29282.000000000011</v>
      </c>
      <c r="M6" s="39">
        <f>L6*(1+'Operating Assumptions'!$H$7)</f>
        <v>32210.200000000015</v>
      </c>
    </row>
    <row r="7" spans="2:16" ht="15" x14ac:dyDescent="0.35">
      <c r="B7" s="12" t="s">
        <v>49</v>
      </c>
      <c r="C7" s="12"/>
      <c r="D7" s="12"/>
      <c r="E7" s="12"/>
      <c r="F7" s="12"/>
      <c r="G7" s="12"/>
      <c r="H7" s="45">
        <f>'Operating Assumptions'!H9</f>
        <v>9000</v>
      </c>
      <c r="I7" s="45">
        <f ca="1">I6*('Operating Assumptions'!$H$10-((0.01/COUNT($I$4:$M$4)*COUNT($I$4:I4))))</f>
        <v>9856</v>
      </c>
      <c r="J7" s="45">
        <f ca="1">J6*('Operating Assumptions'!$H$10-((0.01/COUNT($I$4:$M$4)*COUNT($I$4:J4))))</f>
        <v>10793.200000000003</v>
      </c>
      <c r="K7" s="45">
        <f ca="1">K6*('Operating Assumptions'!$H$10-((0.01/COUNT($I$4:$M$4)*COUNT($I$4:K4))))</f>
        <v>11819.280000000004</v>
      </c>
      <c r="L7" s="45">
        <f ca="1">L6*('Operating Assumptions'!$H$10-((0.01/COUNT($I$4:$M$4)*COUNT($I$4:L4))))</f>
        <v>12942.644000000006</v>
      </c>
      <c r="M7" s="45">
        <f ca="1">M6*('Operating Assumptions'!$H$10-((0.01/COUNT($I$4:$M$4)*COUNT($I$4:M4))))</f>
        <v>14172.488000000007</v>
      </c>
      <c r="N7" s="42">
        <f ca="1">M7/M6</f>
        <v>0.44</v>
      </c>
    </row>
    <row r="8" spans="2:16" x14ac:dyDescent="0.2">
      <c r="B8" s="3" t="s">
        <v>50</v>
      </c>
      <c r="C8" s="3"/>
      <c r="D8" s="3"/>
      <c r="E8" s="3"/>
      <c r="F8" s="3"/>
      <c r="G8" s="3"/>
      <c r="H8" s="13">
        <f>H6-H7</f>
        <v>11000</v>
      </c>
      <c r="I8" s="13">
        <f t="shared" ref="I8:M8" ca="1" si="0">I6-I7</f>
        <v>12144</v>
      </c>
      <c r="J8" s="13">
        <f t="shared" ca="1" si="0"/>
        <v>13406.800000000001</v>
      </c>
      <c r="K8" s="13">
        <f t="shared" ca="1" si="0"/>
        <v>14800.720000000003</v>
      </c>
      <c r="L8" s="13">
        <f t="shared" ca="1" si="0"/>
        <v>16339.356000000005</v>
      </c>
      <c r="M8" s="13">
        <f t="shared" ca="1" si="0"/>
        <v>18037.712000000007</v>
      </c>
      <c r="N8" s="48"/>
    </row>
    <row r="9" spans="2:16" x14ac:dyDescent="0.2">
      <c r="B9" s="4" t="s">
        <v>51</v>
      </c>
      <c r="H9" s="43">
        <f>H8/H6</f>
        <v>0.55000000000000004</v>
      </c>
      <c r="I9" s="43">
        <f t="shared" ref="I9:M9" ca="1" si="1">I8/I6</f>
        <v>0.55200000000000005</v>
      </c>
      <c r="J9" s="43">
        <f t="shared" ca="1" si="1"/>
        <v>0.55399999999999994</v>
      </c>
      <c r="K9" s="43">
        <f t="shared" ca="1" si="1"/>
        <v>0.55599999999999994</v>
      </c>
      <c r="L9" s="43">
        <f t="shared" ca="1" si="1"/>
        <v>0.55799999999999994</v>
      </c>
      <c r="M9" s="43">
        <f t="shared" ca="1" si="1"/>
        <v>0.55999999999999994</v>
      </c>
      <c r="N9" s="48"/>
    </row>
    <row r="10" spans="2:16" x14ac:dyDescent="0.2">
      <c r="N10" s="48"/>
    </row>
    <row r="11" spans="2:16" x14ac:dyDescent="0.2">
      <c r="B11" t="str">
        <f>'Operating Assumptions'!B12</f>
        <v>General &amp; Administration  Expenses (excl. Amortization)</v>
      </c>
      <c r="H11" s="39">
        <f>H6*'Operating Assumptions'!$H$13</f>
        <v>1800</v>
      </c>
      <c r="I11" s="39">
        <f>I6*'Operating Assumptions'!$H$13</f>
        <v>1980</v>
      </c>
      <c r="J11" s="39">
        <f>J6*'Operating Assumptions'!$H$13</f>
        <v>2178.0000000000005</v>
      </c>
      <c r="K11" s="39">
        <f>K6*'Operating Assumptions'!$H$13</f>
        <v>2395.8000000000006</v>
      </c>
      <c r="L11" s="39">
        <f>L6*'Operating Assumptions'!$H$13</f>
        <v>2635.380000000001</v>
      </c>
      <c r="M11" s="39">
        <f>M6*'Operating Assumptions'!$H$13</f>
        <v>2898.9180000000015</v>
      </c>
      <c r="N11" s="48"/>
    </row>
    <row r="12" spans="2:16" x14ac:dyDescent="0.2">
      <c r="B12" s="44" t="str">
        <f>'Operating Assumptions'!B15</f>
        <v>Sales &amp; Marketing Expenses (excl. Amortization)</v>
      </c>
      <c r="C12" s="44"/>
      <c r="D12" s="44"/>
      <c r="E12" s="44"/>
      <c r="F12" s="44"/>
      <c r="G12" s="44"/>
      <c r="H12" s="46">
        <f>H6*'Operating Assumptions'!$H$16</f>
        <v>1100</v>
      </c>
      <c r="I12" s="46">
        <f ca="1">I6*('Operating Assumptions'!$H$16-((0.015/COUNT($I$4:$M$4)*COUNT($I$4:I4))))</f>
        <v>1144</v>
      </c>
      <c r="J12" s="46">
        <f ca="1">J6*('Operating Assumptions'!$H$16-((0.015/COUNT($I$4:$M$4)*COUNT($I$4:J4))))</f>
        <v>1185.8000000000002</v>
      </c>
      <c r="K12" s="46">
        <f ca="1">K6*('Operating Assumptions'!$H$16-((0.015/COUNT($I$4:$M$4)*COUNT($I$4:K4))))</f>
        <v>1224.5200000000002</v>
      </c>
      <c r="L12" s="46">
        <f ca="1">L6*('Operating Assumptions'!$H$16-((0.015/COUNT($I$4:$M$4)*COUNT($I$4:L4))))</f>
        <v>1259.1260000000004</v>
      </c>
      <c r="M12" s="46">
        <f ca="1">M6*('Operating Assumptions'!$H$16-((0.015/COUNT($I$4:$M$4)*COUNT($I$4:M4))))</f>
        <v>1288.4080000000006</v>
      </c>
      <c r="N12" s="49">
        <f ca="1">M12/M6</f>
        <v>0.04</v>
      </c>
    </row>
    <row r="13" spans="2:16" x14ac:dyDescent="0.2">
      <c r="B13" s="3" t="s">
        <v>52</v>
      </c>
      <c r="H13" s="39">
        <f>H8-SUM(H11:H12)</f>
        <v>8100</v>
      </c>
      <c r="I13" s="39">
        <f t="shared" ref="I13:M13" ca="1" si="2">I8-SUM(I11:I12)</f>
        <v>9020</v>
      </c>
      <c r="J13" s="39">
        <f t="shared" ca="1" si="2"/>
        <v>10043</v>
      </c>
      <c r="K13" s="39">
        <f t="shared" ca="1" si="2"/>
        <v>11180.400000000001</v>
      </c>
      <c r="L13" s="39">
        <f t="shared" ca="1" si="2"/>
        <v>12444.850000000004</v>
      </c>
      <c r="M13" s="39">
        <f t="shared" ca="1" si="2"/>
        <v>13850.386000000006</v>
      </c>
    </row>
    <row r="14" spans="2:16" x14ac:dyDescent="0.2">
      <c r="B14" s="4" t="s">
        <v>62</v>
      </c>
      <c r="H14" s="47">
        <f>H13/H6</f>
        <v>0.40500000000000003</v>
      </c>
      <c r="I14" s="47">
        <f t="shared" ref="I14:M14" ca="1" si="3">I13/I6</f>
        <v>0.41</v>
      </c>
      <c r="J14" s="47">
        <f t="shared" ca="1" si="3"/>
        <v>0.41499999999999992</v>
      </c>
      <c r="K14" s="47">
        <f t="shared" ca="1" si="3"/>
        <v>0.41999999999999993</v>
      </c>
      <c r="L14" s="47">
        <f t="shared" ca="1" si="3"/>
        <v>0.42499999999999999</v>
      </c>
      <c r="M14" s="47">
        <f t="shared" ca="1" si="3"/>
        <v>0.43</v>
      </c>
    </row>
    <row r="16" spans="2:16" x14ac:dyDescent="0.2">
      <c r="B16" t="str">
        <f>'Operating Assumptions'!B18</f>
        <v>Depreciation (Book)</v>
      </c>
      <c r="H16" s="39">
        <f>'Operating Assumptions'!$H$19*H6</f>
        <v>1000</v>
      </c>
      <c r="I16" s="39">
        <f>'Operating Assumptions'!$H$19*I6</f>
        <v>1100</v>
      </c>
      <c r="J16" s="39">
        <f>'Operating Assumptions'!$H$19*J6</f>
        <v>1210.0000000000002</v>
      </c>
      <c r="K16" s="39">
        <f>'Operating Assumptions'!$H$19*K6</f>
        <v>1331.0000000000005</v>
      </c>
      <c r="L16" s="39">
        <f>'Operating Assumptions'!$H$19*L6</f>
        <v>1464.1000000000006</v>
      </c>
      <c r="M16" s="39">
        <f>'Operating Assumptions'!$H$19*M6</f>
        <v>1610.5100000000009</v>
      </c>
    </row>
    <row r="17" spans="2:16" x14ac:dyDescent="0.2">
      <c r="B17" s="44" t="str">
        <f>'Operating Assumptions'!B21</f>
        <v>Amortization of Goodwill &amp; Other Intangibles</v>
      </c>
      <c r="C17" s="44"/>
      <c r="D17" s="44"/>
      <c r="E17" s="44"/>
      <c r="F17" s="44"/>
      <c r="G17" s="44"/>
      <c r="H17" s="46">
        <f>'Operating Assumptions'!$H$21</f>
        <v>12</v>
      </c>
      <c r="I17" s="46">
        <f>'Operating Assumptions'!$H$21</f>
        <v>12</v>
      </c>
      <c r="J17" s="46">
        <f>'Operating Assumptions'!$H$21</f>
        <v>12</v>
      </c>
      <c r="K17" s="46">
        <f>'Operating Assumptions'!$H$21</f>
        <v>12</v>
      </c>
      <c r="L17" s="46">
        <f>'Operating Assumptions'!$H$21</f>
        <v>12</v>
      </c>
      <c r="M17" s="46">
        <f>'Operating Assumptions'!$H$21</f>
        <v>12</v>
      </c>
    </row>
    <row r="18" spans="2:16" x14ac:dyDescent="0.2">
      <c r="B18" s="3" t="s">
        <v>53</v>
      </c>
      <c r="H18" s="39">
        <f>H13-SUM(H16:H17)</f>
        <v>7088</v>
      </c>
      <c r="I18" s="39">
        <f t="shared" ref="I18:M18" ca="1" si="4">I13-SUM(I16:I17)</f>
        <v>7908</v>
      </c>
      <c r="J18" s="39">
        <f t="shared" ca="1" si="4"/>
        <v>8821</v>
      </c>
      <c r="K18" s="39">
        <f t="shared" ca="1" si="4"/>
        <v>9837.4000000000015</v>
      </c>
      <c r="L18" s="39">
        <f t="shared" ca="1" si="4"/>
        <v>10968.750000000004</v>
      </c>
      <c r="M18" s="39">
        <f t="shared" ca="1" si="4"/>
        <v>12227.876000000006</v>
      </c>
    </row>
    <row r="19" spans="2:16" x14ac:dyDescent="0.2">
      <c r="B19" s="4" t="s">
        <v>54</v>
      </c>
      <c r="H19" s="47">
        <f>H18/H6</f>
        <v>0.35439999999999999</v>
      </c>
      <c r="I19" s="47">
        <f t="shared" ref="I19:M19" ca="1" si="5">I18/I6</f>
        <v>0.35945454545454547</v>
      </c>
      <c r="J19" s="47">
        <f t="shared" ca="1" si="5"/>
        <v>0.36450413223140493</v>
      </c>
      <c r="K19" s="47">
        <f t="shared" ca="1" si="5"/>
        <v>0.36954921111945899</v>
      </c>
      <c r="L19" s="47">
        <f t="shared" ca="1" si="5"/>
        <v>0.37459019192678095</v>
      </c>
      <c r="M19" s="47">
        <f t="shared" ca="1" si="5"/>
        <v>0.37962744720616448</v>
      </c>
    </row>
    <row r="21" spans="2:16" x14ac:dyDescent="0.2">
      <c r="B21" s="3" t="s">
        <v>55</v>
      </c>
      <c r="H21" s="39">
        <f>'Operating Assumptions'!$H$33*'Operating Assumptions'!$H$65</f>
        <v>800</v>
      </c>
      <c r="I21" s="39">
        <f>I56*'Operating Assumptions'!$H$33</f>
        <v>780</v>
      </c>
      <c r="J21" s="39">
        <f>J56*'Operating Assumptions'!$H$33</f>
        <v>760</v>
      </c>
      <c r="K21" s="39">
        <f>K56*'Operating Assumptions'!$H$33</f>
        <v>740</v>
      </c>
      <c r="L21" s="39">
        <f>L56*'Operating Assumptions'!$H$33</f>
        <v>720</v>
      </c>
      <c r="M21" s="39">
        <f>M56*'Operating Assumptions'!$H$33</f>
        <v>700</v>
      </c>
    </row>
    <row r="22" spans="2:16" x14ac:dyDescent="0.2">
      <c r="B22" s="3" t="s">
        <v>71</v>
      </c>
      <c r="I22" s="39">
        <f>H36*'Operating Assumptions'!$H$34</f>
        <v>67.5</v>
      </c>
      <c r="J22" s="39">
        <f ca="1">I36*'Operating Assumptions'!$H$34</f>
        <v>160.46926381130632</v>
      </c>
      <c r="K22" s="39">
        <f ca="1">J36*'Operating Assumptions'!$H$34</f>
        <v>322.07261773875513</v>
      </c>
      <c r="L22" s="39">
        <f ca="1">K36*'Operating Assumptions'!$H$34</f>
        <v>505.17442892773454</v>
      </c>
      <c r="M22" s="39">
        <f ca="1">L36*'Operating Assumptions'!$H$34</f>
        <v>712.31148206432124</v>
      </c>
    </row>
    <row r="23" spans="2:16" x14ac:dyDescent="0.2">
      <c r="B23" s="50" t="s">
        <v>57</v>
      </c>
      <c r="C23" s="51"/>
      <c r="D23" s="51"/>
      <c r="E23" s="51"/>
      <c r="F23" s="51"/>
      <c r="G23" s="51"/>
      <c r="H23" s="52">
        <f>H18-H21+H22</f>
        <v>6288</v>
      </c>
      <c r="I23" s="52">
        <f ca="1">I18-I21</f>
        <v>7128</v>
      </c>
      <c r="J23" s="52">
        <f ca="1">J18-J21</f>
        <v>8061</v>
      </c>
      <c r="K23" s="52">
        <f ca="1">K18-K21</f>
        <v>9097.4000000000015</v>
      </c>
      <c r="L23" s="52">
        <f ca="1">L18-L21</f>
        <v>10248.750000000004</v>
      </c>
      <c r="M23" s="52">
        <f ca="1">M18-M21</f>
        <v>11527.876000000006</v>
      </c>
    </row>
    <row r="25" spans="2:16" x14ac:dyDescent="0.2">
      <c r="B25" s="12" t="s">
        <v>56</v>
      </c>
      <c r="C25" s="44"/>
      <c r="D25" s="44"/>
      <c r="E25" s="44"/>
      <c r="F25" s="44"/>
      <c r="G25" s="44"/>
      <c r="H25" s="46">
        <f>H23*'Operating Assumptions'!$H$37</f>
        <v>2515.2000000000003</v>
      </c>
      <c r="I25" s="46">
        <f ca="1">I23*'Operating Assumptions'!$H$37</f>
        <v>2851.2000000000003</v>
      </c>
      <c r="J25" s="46">
        <f ca="1">J23*'Operating Assumptions'!$H$37</f>
        <v>3224.4</v>
      </c>
      <c r="K25" s="46">
        <f ca="1">K23*'Operating Assumptions'!$H$37</f>
        <v>3638.9600000000009</v>
      </c>
      <c r="L25" s="46">
        <f ca="1">L23*'Operating Assumptions'!$H$37</f>
        <v>4099.5000000000018</v>
      </c>
      <c r="M25" s="46">
        <f ca="1">M23*'Operating Assumptions'!$H$37</f>
        <v>4611.1504000000023</v>
      </c>
    </row>
    <row r="26" spans="2:16" x14ac:dyDescent="0.2">
      <c r="B26" s="3" t="s">
        <v>61</v>
      </c>
      <c r="H26" s="39">
        <f>H23-H25</f>
        <v>3772.7999999999997</v>
      </c>
      <c r="I26" s="39">
        <f t="shared" ref="I26:M26" ca="1" si="6">I23-I25</f>
        <v>4276.7999999999993</v>
      </c>
      <c r="J26" s="39">
        <f t="shared" ca="1" si="6"/>
        <v>4836.6000000000004</v>
      </c>
      <c r="K26" s="39">
        <f t="shared" ca="1" si="6"/>
        <v>5458.4400000000005</v>
      </c>
      <c r="L26" s="39">
        <f t="shared" ca="1" si="6"/>
        <v>6149.2500000000018</v>
      </c>
      <c r="M26" s="39">
        <f t="shared" ca="1" si="6"/>
        <v>6916.7256000000034</v>
      </c>
    </row>
    <row r="27" spans="2:16" x14ac:dyDescent="0.2">
      <c r="B27" s="3" t="s">
        <v>63</v>
      </c>
      <c r="H27" s="47">
        <f>H26/H6</f>
        <v>0.18863999999999997</v>
      </c>
      <c r="I27" s="47">
        <f t="shared" ref="I27:M27" ca="1" si="7">I26/I6</f>
        <v>0.19439999999999996</v>
      </c>
      <c r="J27" s="47">
        <f t="shared" ca="1" si="7"/>
        <v>0.19985950413223139</v>
      </c>
      <c r="K27" s="47">
        <f t="shared" ca="1" si="7"/>
        <v>0.20505033809166037</v>
      </c>
      <c r="L27" s="47">
        <f t="shared" ca="1" si="7"/>
        <v>0.21000102452018304</v>
      </c>
      <c r="M27" s="47">
        <f t="shared" ca="1" si="7"/>
        <v>0.21473712053945646</v>
      </c>
    </row>
    <row r="29" spans="2:16" ht="3" customHeight="1" thickBot="1" x14ac:dyDescent="0.25">
      <c r="B29" s="5"/>
      <c r="C29" s="5"/>
      <c r="D29" s="5"/>
      <c r="E29" s="5"/>
      <c r="F29" s="5"/>
      <c r="G29" s="5"/>
      <c r="H29" s="14"/>
      <c r="I29" s="14"/>
      <c r="J29" s="14"/>
      <c r="K29" s="14"/>
      <c r="L29" s="14"/>
      <c r="M29" s="14"/>
      <c r="N29" s="3"/>
      <c r="O29" s="3"/>
      <c r="P29" s="3"/>
    </row>
    <row r="30" spans="2:16" x14ac:dyDescent="0.2">
      <c r="B30" s="3"/>
      <c r="C30" s="3"/>
      <c r="D30" s="3"/>
      <c r="E30" s="3"/>
      <c r="F30" s="3"/>
      <c r="G30" s="3"/>
      <c r="H30" s="13"/>
      <c r="I30" s="13"/>
      <c r="J30" s="13"/>
      <c r="K30" s="13"/>
      <c r="L30" s="13"/>
      <c r="M30" s="13"/>
      <c r="N30" s="3"/>
      <c r="O30" s="3"/>
      <c r="P30" s="3"/>
    </row>
    <row r="31" spans="2:16" x14ac:dyDescent="0.2">
      <c r="B31" s="3"/>
      <c r="C31" s="3"/>
      <c r="D31" s="3"/>
      <c r="E31" s="3"/>
      <c r="F31" s="3"/>
      <c r="G31" s="3"/>
      <c r="H31" s="13"/>
      <c r="I31" s="13"/>
      <c r="J31" s="13"/>
      <c r="K31" s="13"/>
      <c r="L31" s="13"/>
      <c r="M31" s="13"/>
      <c r="N31" s="3"/>
      <c r="O31" s="3"/>
      <c r="P31" s="3"/>
    </row>
    <row r="32" spans="2:16" x14ac:dyDescent="0.2">
      <c r="B32" s="1" t="s">
        <v>41</v>
      </c>
      <c r="C32" s="3"/>
      <c r="D32" s="3"/>
      <c r="E32" s="3"/>
      <c r="F32" s="3"/>
      <c r="G32" s="3"/>
      <c r="H32" s="13"/>
      <c r="I32" s="13"/>
      <c r="J32" s="13"/>
      <c r="K32" s="13"/>
      <c r="L32" s="13"/>
      <c r="M32" s="13"/>
      <c r="N32" s="3"/>
      <c r="O32" s="3"/>
      <c r="P32" s="3"/>
    </row>
    <row r="33" spans="2:16" x14ac:dyDescent="0.2">
      <c r="B33" s="3"/>
      <c r="C33" s="3"/>
      <c r="D33" s="3"/>
      <c r="E33" s="3"/>
      <c r="F33" s="3"/>
      <c r="G33" s="3"/>
      <c r="H33" s="37" t="str">
        <f>+$H$3</f>
        <v>For the period ending December 31,</v>
      </c>
      <c r="I33" s="37"/>
      <c r="J33" s="37"/>
      <c r="K33" s="37"/>
      <c r="L33" s="37"/>
      <c r="M33" s="37"/>
      <c r="N33" s="3"/>
      <c r="O33" s="3"/>
      <c r="P33" s="3"/>
    </row>
    <row r="34" spans="2:16" x14ac:dyDescent="0.2">
      <c r="B34" s="4" t="s">
        <v>36</v>
      </c>
      <c r="C34" s="3"/>
      <c r="D34" s="3"/>
      <c r="E34" s="3"/>
      <c r="F34" s="3"/>
      <c r="G34" s="3"/>
      <c r="H34" s="41">
        <f ca="1">+$H$4</f>
        <v>2019</v>
      </c>
      <c r="I34" s="41">
        <f ca="1">+I4</f>
        <v>2020</v>
      </c>
      <c r="J34" s="41">
        <f ca="1">+J4</f>
        <v>2021</v>
      </c>
      <c r="K34" s="41">
        <f ca="1">+K4</f>
        <v>2022</v>
      </c>
      <c r="L34" s="41">
        <f ca="1">+L4</f>
        <v>2023</v>
      </c>
      <c r="M34" s="41">
        <f ca="1">+M4</f>
        <v>2024</v>
      </c>
      <c r="N34" s="3"/>
      <c r="O34" s="3"/>
      <c r="P34" s="3"/>
    </row>
    <row r="35" spans="2:16" ht="3" customHeight="1" thickBot="1" x14ac:dyDescent="0.25">
      <c r="B35" s="5"/>
      <c r="C35" s="5"/>
      <c r="D35" s="5"/>
      <c r="E35" s="5"/>
      <c r="F35" s="5"/>
      <c r="G35" s="5"/>
      <c r="H35" s="38"/>
      <c r="I35" s="38"/>
      <c r="J35" s="38"/>
      <c r="K35" s="38"/>
      <c r="L35" s="38"/>
      <c r="M35" s="38"/>
      <c r="N35" s="3"/>
      <c r="O35" s="3"/>
      <c r="P35" s="3"/>
    </row>
    <row r="36" spans="2:16" x14ac:dyDescent="0.2">
      <c r="B36" s="3" t="s">
        <v>11</v>
      </c>
      <c r="H36" s="39">
        <f>IF('Operating Assumptions'!H45=0,"",'Operating Assumptions'!H45)</f>
        <v>1500</v>
      </c>
      <c r="I36" s="39">
        <f ca="1">I88+H36</f>
        <v>3565.9836402512519</v>
      </c>
      <c r="J36" s="39">
        <f t="shared" ref="J36:M36" ca="1" si="8">J88+I36</f>
        <v>7157.1692830834472</v>
      </c>
      <c r="K36" s="39">
        <f t="shared" ca="1" si="8"/>
        <v>11226.098420616323</v>
      </c>
      <c r="L36" s="39">
        <f t="shared" ca="1" si="8"/>
        <v>15829.144045873805</v>
      </c>
      <c r="M36" s="39">
        <f t="shared" ca="1" si="8"/>
        <v>21029.307447853123</v>
      </c>
    </row>
    <row r="37" spans="2:16" x14ac:dyDescent="0.2">
      <c r="B37" s="3" t="s">
        <v>12</v>
      </c>
      <c r="H37" s="39">
        <f>IF('Operating Assumptions'!H46=0,"",'Operating Assumptions'!H46)</f>
        <v>2800</v>
      </c>
      <c r="I37" s="39">
        <f>$H37/$H6*I6</f>
        <v>3080.0000000000005</v>
      </c>
      <c r="J37" s="39">
        <f>$H37/$H6*J6</f>
        <v>3388.0000000000009</v>
      </c>
      <c r="K37" s="39">
        <f>$H37/$H6*K6</f>
        <v>3726.8000000000015</v>
      </c>
      <c r="L37" s="39">
        <f>$H37/$H6*L6</f>
        <v>4099.4800000000023</v>
      </c>
      <c r="M37" s="39">
        <f>$H37/$H6*M6</f>
        <v>4509.4280000000026</v>
      </c>
    </row>
    <row r="38" spans="2:16" x14ac:dyDescent="0.2">
      <c r="B38" s="3" t="s">
        <v>13</v>
      </c>
      <c r="H38" s="39">
        <f>IF('Operating Assumptions'!H47=0,"",'Operating Assumptions'!H47)</f>
        <v>2000</v>
      </c>
      <c r="I38" s="39">
        <f ca="1">$H38/$H7*I7</f>
        <v>2190.2222222222222</v>
      </c>
      <c r="J38" s="39">
        <f ca="1">$H38/$H7*J7</f>
        <v>2398.4888888888895</v>
      </c>
      <c r="K38" s="39">
        <f ca="1">$H38/$H7*K7</f>
        <v>2626.5066666666676</v>
      </c>
      <c r="L38" s="39">
        <f ca="1">$H38/$H7*L7</f>
        <v>2876.1431111111124</v>
      </c>
      <c r="M38" s="39">
        <f ca="1">$H38/$H7*M7</f>
        <v>3149.441777777779</v>
      </c>
    </row>
    <row r="39" spans="2:16" x14ac:dyDescent="0.2">
      <c r="B39" s="12" t="s">
        <v>14</v>
      </c>
      <c r="C39" s="44"/>
      <c r="D39" s="44"/>
      <c r="E39" s="44"/>
      <c r="F39" s="44"/>
      <c r="G39" s="44"/>
      <c r="H39" s="46">
        <f>IF('Operating Assumptions'!H48=0,"",'Operating Assumptions'!H48)</f>
        <v>100</v>
      </c>
      <c r="I39" s="46">
        <f ca="1">$H39/$H8*I8</f>
        <v>110.39999999999999</v>
      </c>
      <c r="J39" s="46">
        <f ca="1">$H39/$H8*J8</f>
        <v>121.88000000000001</v>
      </c>
      <c r="K39" s="46">
        <f ca="1">$H39/$H8*K8</f>
        <v>134.55200000000002</v>
      </c>
      <c r="L39" s="46">
        <f ca="1">$H39/$H8*L8</f>
        <v>148.53960000000004</v>
      </c>
      <c r="M39" s="46">
        <f ca="1">$H39/$H8*M8</f>
        <v>163.97920000000005</v>
      </c>
    </row>
    <row r="40" spans="2:16" x14ac:dyDescent="0.2">
      <c r="B40" s="3" t="s">
        <v>15</v>
      </c>
      <c r="H40" s="39">
        <f>SUM(H36:H39)</f>
        <v>6400</v>
      </c>
      <c r="I40" s="39">
        <f t="shared" ref="I40:M40" ca="1" si="9">SUM(I36:I39)</f>
        <v>8946.6058624734742</v>
      </c>
      <c r="J40" s="39">
        <f t="shared" ca="1" si="9"/>
        <v>13065.538171972335</v>
      </c>
      <c r="K40" s="39">
        <f t="shared" ca="1" si="9"/>
        <v>17713.95708728299</v>
      </c>
      <c r="L40" s="39">
        <f t="shared" ca="1" si="9"/>
        <v>22953.306756984919</v>
      </c>
      <c r="M40" s="39">
        <f t="shared" ca="1" si="9"/>
        <v>28852.156425630907</v>
      </c>
    </row>
    <row r="41" spans="2:16" x14ac:dyDescent="0.2">
      <c r="B41" s="3"/>
      <c r="H41" s="39" t="str">
        <f>IF('Operating Assumptions'!H50=0,"",'Operating Assumptions'!H50)</f>
        <v/>
      </c>
    </row>
    <row r="42" spans="2:16" x14ac:dyDescent="0.2">
      <c r="B42" s="3" t="s">
        <v>16</v>
      </c>
      <c r="H42" s="39">
        <f>IF('Operating Assumptions'!H51=0,"",'Operating Assumptions'!H51)</f>
        <v>12900</v>
      </c>
      <c r="I42" s="39">
        <f t="shared" ref="I42:M42" si="10">H44+MAX(I56-H56,0)</f>
        <v>9900</v>
      </c>
      <c r="J42" s="39">
        <f>I44+MAX(J56-I56,0)</f>
        <v>7597.6744186046508</v>
      </c>
      <c r="K42" s="39">
        <f t="shared" ref="K42:M42" si="11">J44+MAX(K56-J56,0)</f>
        <v>5830.7733910221741</v>
      </c>
      <c r="L42" s="39">
        <f t="shared" si="11"/>
        <v>4474.7795791565522</v>
      </c>
      <c r="M42" s="39">
        <f t="shared" si="11"/>
        <v>3434.1331653992147</v>
      </c>
    </row>
    <row r="43" spans="2:16" x14ac:dyDescent="0.2">
      <c r="B43" s="12" t="s">
        <v>17</v>
      </c>
      <c r="C43" s="44"/>
      <c r="D43" s="44"/>
      <c r="E43" s="44"/>
      <c r="F43" s="44"/>
      <c r="G43" s="44"/>
      <c r="H43" s="46">
        <f>IF('Operating Assumptions'!H52=0,"",'Operating Assumptions'!H52)</f>
        <v>-3000</v>
      </c>
      <c r="I43" s="46">
        <f>$H$43/$H$42*I42</f>
        <v>-2302.3255813953488</v>
      </c>
      <c r="J43" s="46">
        <f t="shared" ref="J43:M43" si="12">$H$43/$H$42*J42</f>
        <v>-1766.9010275824769</v>
      </c>
      <c r="K43" s="46">
        <f t="shared" si="12"/>
        <v>-1355.9938118656219</v>
      </c>
      <c r="L43" s="46">
        <f t="shared" si="12"/>
        <v>-1040.6464137573378</v>
      </c>
      <c r="M43" s="46">
        <f t="shared" si="12"/>
        <v>-798.63561986028253</v>
      </c>
    </row>
    <row r="44" spans="2:16" x14ac:dyDescent="0.2">
      <c r="B44" s="3" t="s">
        <v>18</v>
      </c>
      <c r="H44" s="39">
        <f>SUM(H42:H43)</f>
        <v>9900</v>
      </c>
      <c r="I44" s="39">
        <f>SUM(I42:I43)</f>
        <v>7597.6744186046508</v>
      </c>
      <c r="J44" s="39">
        <f t="shared" ref="J44:M44" si="13">SUM(J42:J43)</f>
        <v>5830.7733910221741</v>
      </c>
      <c r="K44" s="39">
        <f t="shared" si="13"/>
        <v>4474.7795791565522</v>
      </c>
      <c r="L44" s="39">
        <f t="shared" si="13"/>
        <v>3434.1331653992147</v>
      </c>
      <c r="M44" s="39">
        <f t="shared" si="13"/>
        <v>2635.4975455389322</v>
      </c>
    </row>
    <row r="45" spans="2:16" x14ac:dyDescent="0.2">
      <c r="B45" s="3"/>
      <c r="H45" s="39" t="str">
        <f>IF('Operating Assumptions'!H54=0,"",'Operating Assumptions'!H54)</f>
        <v/>
      </c>
    </row>
    <row r="46" spans="2:16" x14ac:dyDescent="0.2">
      <c r="B46" s="3" t="s">
        <v>32</v>
      </c>
      <c r="H46" s="39">
        <f>IF('Operating Assumptions'!H55=0,"",'Operating Assumptions'!H55)</f>
        <v>150</v>
      </c>
      <c r="I46" s="39">
        <f>H46-I17</f>
        <v>138</v>
      </c>
      <c r="J46" s="39">
        <f>I46-J17</f>
        <v>126</v>
      </c>
      <c r="K46" s="39">
        <f>J46-K17</f>
        <v>114</v>
      </c>
      <c r="L46" s="39">
        <f>K46-L17</f>
        <v>102</v>
      </c>
      <c r="M46" s="39">
        <f>L46-M17</f>
        <v>90</v>
      </c>
    </row>
    <row r="47" spans="2:16" x14ac:dyDescent="0.2">
      <c r="B47" s="12" t="s">
        <v>19</v>
      </c>
      <c r="C47" s="44"/>
      <c r="D47" s="44"/>
      <c r="E47" s="44"/>
      <c r="F47" s="44"/>
      <c r="G47" s="44"/>
      <c r="H47" s="46">
        <f>IF('Operating Assumptions'!H56=0,"",'Operating Assumptions'!H56)</f>
        <v>500</v>
      </c>
      <c r="I47" s="46">
        <f>H47</f>
        <v>500</v>
      </c>
      <c r="J47" s="46">
        <f t="shared" ref="J47:M47" si="14">I47</f>
        <v>500</v>
      </c>
      <c r="K47" s="46">
        <f t="shared" si="14"/>
        <v>500</v>
      </c>
      <c r="L47" s="46">
        <f t="shared" si="14"/>
        <v>500</v>
      </c>
      <c r="M47" s="46">
        <f t="shared" si="14"/>
        <v>500</v>
      </c>
    </row>
    <row r="48" spans="2:16" x14ac:dyDescent="0.2">
      <c r="B48" s="3" t="s">
        <v>25</v>
      </c>
      <c r="H48" s="39">
        <f t="shared" ref="H48:L48" si="15">SUM(H46:H47)+H44+H40</f>
        <v>16950</v>
      </c>
      <c r="I48" s="39">
        <f t="shared" ca="1" si="15"/>
        <v>17182.280281078125</v>
      </c>
      <c r="J48" s="39">
        <f t="shared" ca="1" si="15"/>
        <v>19522.31156299451</v>
      </c>
      <c r="K48" s="39">
        <f t="shared" ca="1" si="15"/>
        <v>22802.736666439541</v>
      </c>
      <c r="L48" s="39">
        <f t="shared" ca="1" si="15"/>
        <v>26989.439922384132</v>
      </c>
      <c r="M48" s="39">
        <f ca="1">SUM(M46:M47)+M44+M40</f>
        <v>32077.653971169839</v>
      </c>
    </row>
    <row r="49" spans="2:16" x14ac:dyDescent="0.2">
      <c r="B49" s="3"/>
      <c r="H49" s="39" t="str">
        <f>IF('Operating Assumptions'!H58=0,"",'Operating Assumptions'!H58)</f>
        <v/>
      </c>
    </row>
    <row r="50" spans="2:16" x14ac:dyDescent="0.2">
      <c r="B50" s="3" t="s">
        <v>20</v>
      </c>
      <c r="H50" s="39">
        <f>IF('Operating Assumptions'!H59=0,"",'Operating Assumptions'!H59)</f>
        <v>1200</v>
      </c>
      <c r="I50" s="39">
        <f ca="1">$H50/SUM($H7,$H11:$H12)*SUM(I7,I11:I12)</f>
        <v>1308.90756302521</v>
      </c>
      <c r="J50" s="39">
        <f ca="1">$H$50/SUM($H$7,$H$11:$H$12)*SUM(J7,$I$11:$I$12)</f>
        <v>1403.4151260504204</v>
      </c>
      <c r="K50" s="39">
        <f ca="1">$H$50/SUM($H$7,$H$11:$H$12)*SUM(K7,$I$11:$I$12)</f>
        <v>1506.885378151261</v>
      </c>
      <c r="L50" s="39">
        <f ca="1">$H$50/SUM($H$7,$H$11:$H$12)*SUM(L7,$I$11:$I$12)</f>
        <v>1620.1657815126057</v>
      </c>
      <c r="M50" s="39">
        <f ca="1">$H$50/SUM($H$7,$H$11:$H$12)*SUM(M7,$I$11:$I$12)</f>
        <v>1744.1836638655468</v>
      </c>
    </row>
    <row r="51" spans="2:16" x14ac:dyDescent="0.2">
      <c r="B51" s="3" t="s">
        <v>21</v>
      </c>
      <c r="H51" s="39">
        <f>IF('Operating Assumptions'!H60=0,"",'Operating Assumptions'!H60)</f>
        <v>400</v>
      </c>
      <c r="I51" s="39">
        <f ca="1">$H51/SUM($H8,$H12:$H13)*SUM(I8,I12:I13)</f>
        <v>441.74257425742576</v>
      </c>
      <c r="J51" s="39">
        <f ca="1">$H$50/SUM($H$7,$H$11:$H$12)*SUM(J8,$I$11:$I$12)</f>
        <v>1666.971428571429</v>
      </c>
      <c r="K51" s="39">
        <f ca="1">$H$50/SUM($H$7,$H$11:$H$12)*SUM(K8,$I$11:$I$12)</f>
        <v>1807.5347899159665</v>
      </c>
      <c r="L51" s="39">
        <f ca="1">$H$50/SUM($H$7,$H$11:$H$12)*SUM(L8,$I$11:$I$12)</f>
        <v>1962.6913613445386</v>
      </c>
      <c r="M51" s="39">
        <f ca="1">$H$50/SUM($H$7,$H$11:$H$12)*SUM(M8,$I$11:$I$12)</f>
        <v>2133.9541512605051</v>
      </c>
    </row>
    <row r="52" spans="2:16" x14ac:dyDescent="0.2">
      <c r="B52" s="3" t="s">
        <v>22</v>
      </c>
      <c r="H52" s="39">
        <f>IF('Operating Assumptions'!H61=0,"",'Operating Assumptions'!H61)</f>
        <v>350</v>
      </c>
      <c r="I52" s="39">
        <f ca="1">$H$52/$H$23*I23</f>
        <v>396.75572519083966</v>
      </c>
      <c r="J52" s="39">
        <f ca="1">$H$52/$H$23*J23</f>
        <v>448.6879770992366</v>
      </c>
      <c r="K52" s="39">
        <f ca="1">$H$52/$H$23*K23</f>
        <v>506.37563613231561</v>
      </c>
      <c r="L52" s="39">
        <f ca="1">$H$52/$H$23*L23</f>
        <v>570.46159351145059</v>
      </c>
      <c r="M52" s="39">
        <f ca="1">$H$52/$H$23*M23</f>
        <v>641.65976463104357</v>
      </c>
    </row>
    <row r="53" spans="2:16" x14ac:dyDescent="0.2">
      <c r="B53" s="12" t="s">
        <v>23</v>
      </c>
      <c r="C53" s="12"/>
      <c r="D53" s="12"/>
      <c r="E53" s="12"/>
      <c r="F53" s="12"/>
      <c r="G53" s="12"/>
      <c r="H53" s="45">
        <f>IF('Operating Assumptions'!H62=0,"",'Operating Assumptions'!H62)</f>
        <v>200</v>
      </c>
      <c r="I53" s="45">
        <f ca="1">$H53/SUM($H10,$H14:$H15)*SUM(I10,I14:I15)</f>
        <v>202.46913580246911</v>
      </c>
      <c r="J53" s="45">
        <f ca="1">$H$50/SUM($H$7,$H$11:$H$12)*SUM(J10,$I$11:$I$12)</f>
        <v>315.02521008403363</v>
      </c>
      <c r="K53" s="45">
        <f ca="1">$H$50/SUM($H$7,$H$11:$H$12)*SUM(K10,$I$11:$I$12)</f>
        <v>315.02521008403363</v>
      </c>
      <c r="L53" s="45">
        <f ca="1">$H$50/SUM($H$7,$H$11:$H$12)*SUM(L10,$I$11:$I$12)</f>
        <v>315.02521008403363</v>
      </c>
      <c r="M53" s="45">
        <f ca="1">$H$50/SUM($H$7,$H$11:$H$12)*SUM(M10,$I$11:$I$12)</f>
        <v>315.02521008403363</v>
      </c>
    </row>
    <row r="54" spans="2:16" x14ac:dyDescent="0.2">
      <c r="B54" s="3" t="s">
        <v>24</v>
      </c>
      <c r="H54" s="39">
        <f>IF('Operating Assumptions'!H63=0,"",'Operating Assumptions'!H63)</f>
        <v>2150</v>
      </c>
      <c r="I54" s="39">
        <f ca="1">SUM(I50:I53)</f>
        <v>2349.8749982759446</v>
      </c>
      <c r="J54" s="39">
        <f t="shared" ref="J54:M54" ca="1" si="16">SUM(J50:J53)</f>
        <v>3834.0997418051193</v>
      </c>
      <c r="K54" s="39">
        <f t="shared" ca="1" si="16"/>
        <v>4135.8210142835769</v>
      </c>
      <c r="L54" s="39">
        <f t="shared" ca="1" si="16"/>
        <v>4468.3439464526282</v>
      </c>
      <c r="M54" s="39">
        <f t="shared" ca="1" si="16"/>
        <v>4834.8227898411287</v>
      </c>
    </row>
    <row r="55" spans="2:16" x14ac:dyDescent="0.2">
      <c r="B55" s="3"/>
      <c r="H55" s="39" t="str">
        <f>IF('Operating Assumptions'!H64=0,"",'Operating Assumptions'!H64)</f>
        <v/>
      </c>
    </row>
    <row r="56" spans="2:16" x14ac:dyDescent="0.2">
      <c r="B56" s="3" t="s">
        <v>44</v>
      </c>
      <c r="H56" s="39">
        <f>IF('Operating Assumptions'!H65=0,"",'Operating Assumptions'!H65)</f>
        <v>8000</v>
      </c>
      <c r="I56" s="39">
        <f>H56-'Operating Assumptions'!$H$32</f>
        <v>7800</v>
      </c>
      <c r="J56" s="39">
        <f>I56-'Operating Assumptions'!$H$32</f>
        <v>7600</v>
      </c>
      <c r="K56" s="39">
        <f>J56-'Operating Assumptions'!$H$32</f>
        <v>7400</v>
      </c>
      <c r="L56" s="39">
        <f>K56-'Operating Assumptions'!$H$32</f>
        <v>7200</v>
      </c>
      <c r="M56" s="39">
        <f>L56-'Operating Assumptions'!$H$32</f>
        <v>7000</v>
      </c>
    </row>
    <row r="57" spans="2:16" x14ac:dyDescent="0.2">
      <c r="B57" s="12" t="s">
        <v>34</v>
      </c>
      <c r="C57" s="44"/>
      <c r="D57" s="44"/>
      <c r="E57" s="44"/>
      <c r="F57" s="44"/>
      <c r="G57" s="44"/>
      <c r="H57" s="46">
        <f>IF('Operating Assumptions'!H66=0,"",'Operating Assumptions'!H66)</f>
        <v>400</v>
      </c>
      <c r="I57" s="46">
        <f>H57</f>
        <v>400</v>
      </c>
      <c r="J57" s="46">
        <f t="shared" ref="J57:M57" si="17">I57</f>
        <v>400</v>
      </c>
      <c r="K57" s="46">
        <f t="shared" si="17"/>
        <v>400</v>
      </c>
      <c r="L57" s="46">
        <f t="shared" si="17"/>
        <v>400</v>
      </c>
      <c r="M57" s="46">
        <f t="shared" si="17"/>
        <v>400</v>
      </c>
    </row>
    <row r="58" spans="2:16" x14ac:dyDescent="0.2">
      <c r="B58" s="3" t="s">
        <v>26</v>
      </c>
      <c r="H58" s="39">
        <f>SUM(H56:H57)+H54</f>
        <v>10550</v>
      </c>
      <c r="I58" s="39">
        <f t="shared" ref="I58:M58" ca="1" si="18">SUM(I56:I57)+I54</f>
        <v>10549.874998275944</v>
      </c>
      <c r="J58" s="39">
        <f t="shared" ca="1" si="18"/>
        <v>11834.099741805119</v>
      </c>
      <c r="K58" s="39">
        <f t="shared" ca="1" si="18"/>
        <v>11935.821014283578</v>
      </c>
      <c r="L58" s="39">
        <f t="shared" ca="1" si="18"/>
        <v>12068.343946452627</v>
      </c>
      <c r="M58" s="39">
        <f t="shared" ca="1" si="18"/>
        <v>12234.822789841128</v>
      </c>
    </row>
    <row r="59" spans="2:16" x14ac:dyDescent="0.2">
      <c r="B59" s="3"/>
      <c r="H59" s="39" t="str">
        <f>IF('Operating Assumptions'!H68=0,"",'Operating Assumptions'!H68)</f>
        <v/>
      </c>
    </row>
    <row r="60" spans="2:16" x14ac:dyDescent="0.2">
      <c r="B60" s="3" t="s">
        <v>35</v>
      </c>
      <c r="H60" s="39">
        <f>IF('Operating Assumptions'!H69=0,"",'Operating Assumptions'!H69)</f>
        <v>6400</v>
      </c>
      <c r="I60" s="39">
        <f>H60</f>
        <v>6400</v>
      </c>
      <c r="J60" s="39">
        <f t="shared" ref="J60:M60" si="19">I60</f>
        <v>6400</v>
      </c>
      <c r="K60" s="39">
        <f t="shared" si="19"/>
        <v>6400</v>
      </c>
      <c r="L60" s="39">
        <f t="shared" si="19"/>
        <v>6400</v>
      </c>
      <c r="M60" s="39">
        <f t="shared" si="19"/>
        <v>6400</v>
      </c>
    </row>
    <row r="61" spans="2:16" x14ac:dyDescent="0.2">
      <c r="B61" s="3"/>
      <c r="H61" s="39" t="str">
        <f>IF('Operating Assumptions'!H70=0,"",'Operating Assumptions'!H70)</f>
        <v/>
      </c>
    </row>
    <row r="62" spans="2:16" ht="13.5" thickBot="1" x14ac:dyDescent="0.25">
      <c r="B62" s="5" t="s">
        <v>27</v>
      </c>
      <c r="C62" s="36"/>
      <c r="D62" s="36"/>
      <c r="E62" s="36"/>
      <c r="F62" s="36"/>
      <c r="G62" s="36"/>
      <c r="H62" s="40">
        <f>H58+H60</f>
        <v>16950</v>
      </c>
      <c r="I62" s="40">
        <f t="shared" ref="I62:M62" ca="1" si="20">I58+I60</f>
        <v>16949.874998275944</v>
      </c>
      <c r="J62" s="40">
        <f t="shared" ca="1" si="20"/>
        <v>18234.099741805119</v>
      </c>
      <c r="K62" s="40">
        <f t="shared" ca="1" si="20"/>
        <v>18335.821014283578</v>
      </c>
      <c r="L62" s="40">
        <f t="shared" ca="1" si="20"/>
        <v>18468.343946452627</v>
      </c>
      <c r="M62" s="40">
        <f t="shared" ca="1" si="20"/>
        <v>18634.822789841128</v>
      </c>
    </row>
    <row r="63" spans="2:16" x14ac:dyDescent="0.2">
      <c r="B63" s="3"/>
      <c r="C63" s="3"/>
      <c r="D63" s="3"/>
      <c r="E63" s="3"/>
      <c r="F63" s="3"/>
      <c r="G63" s="3"/>
      <c r="H63" s="13">
        <f>H62-H48</f>
        <v>0</v>
      </c>
      <c r="I63" s="13">
        <f t="shared" ref="I63:M63" ca="1" si="21">I62-I48</f>
        <v>-232.40528280218132</v>
      </c>
      <c r="J63" s="13">
        <f t="shared" ca="1" si="21"/>
        <v>-1288.2118211893903</v>
      </c>
      <c r="K63" s="13">
        <f t="shared" ca="1" si="21"/>
        <v>-4466.9156521559635</v>
      </c>
      <c r="L63" s="13">
        <f t="shared" ca="1" si="21"/>
        <v>-8521.0959759315047</v>
      </c>
      <c r="M63" s="13">
        <f t="shared" ca="1" si="21"/>
        <v>-13442.831181328711</v>
      </c>
      <c r="N63" s="3"/>
      <c r="O63" s="3"/>
      <c r="P63" s="3"/>
    </row>
    <row r="64" spans="2:16" x14ac:dyDescent="0.2">
      <c r="B64" s="1" t="s">
        <v>46</v>
      </c>
      <c r="C64" s="3"/>
      <c r="D64" s="3"/>
      <c r="E64" s="3"/>
      <c r="F64" s="3"/>
      <c r="G64" s="3"/>
      <c r="H64" s="13"/>
      <c r="I64" s="13"/>
      <c r="J64" s="13"/>
      <c r="K64" s="13"/>
      <c r="L64" s="13"/>
      <c r="M64" s="13"/>
      <c r="N64" s="3"/>
      <c r="O64" s="3"/>
      <c r="P64" s="3"/>
    </row>
    <row r="65" spans="2:16" x14ac:dyDescent="0.2">
      <c r="B65" s="3"/>
      <c r="C65" s="3"/>
      <c r="D65" s="3"/>
      <c r="E65" s="3"/>
      <c r="F65" s="3"/>
      <c r="G65" s="3"/>
      <c r="H65" s="37" t="str">
        <f>+$H$3</f>
        <v>For the period ending December 31,</v>
      </c>
      <c r="I65" s="37"/>
      <c r="J65" s="37"/>
      <c r="K65" s="37"/>
      <c r="L65" s="37"/>
      <c r="M65" s="37"/>
      <c r="N65" s="3"/>
      <c r="O65" s="3"/>
      <c r="P65" s="3"/>
    </row>
    <row r="66" spans="2:16" x14ac:dyDescent="0.2">
      <c r="B66" s="4" t="s">
        <v>36</v>
      </c>
      <c r="C66" s="3"/>
      <c r="D66" s="3"/>
      <c r="E66" s="3"/>
      <c r="F66" s="3"/>
      <c r="G66" s="3"/>
      <c r="H66" s="41">
        <f ca="1">+$H$4</f>
        <v>2019</v>
      </c>
      <c r="I66" s="41">
        <f t="shared" ref="I66:M66" ca="1" si="22">+I34</f>
        <v>2020</v>
      </c>
      <c r="J66" s="41">
        <f t="shared" ca="1" si="22"/>
        <v>2021</v>
      </c>
      <c r="K66" s="41">
        <f t="shared" ca="1" si="22"/>
        <v>2022</v>
      </c>
      <c r="L66" s="41">
        <f t="shared" ca="1" si="22"/>
        <v>2023</v>
      </c>
      <c r="M66" s="41">
        <f t="shared" ca="1" si="22"/>
        <v>2024</v>
      </c>
      <c r="N66" s="3"/>
      <c r="O66" s="3"/>
      <c r="P66" s="3"/>
    </row>
    <row r="67" spans="2:16" ht="3" customHeight="1" thickBot="1" x14ac:dyDescent="0.25">
      <c r="B67" s="5"/>
      <c r="C67" s="5"/>
      <c r="D67" s="5"/>
      <c r="E67" s="5"/>
      <c r="F67" s="5"/>
      <c r="G67" s="5"/>
      <c r="H67" s="38"/>
      <c r="I67" s="38"/>
      <c r="J67" s="38"/>
      <c r="K67" s="38"/>
      <c r="L67" s="38"/>
      <c r="M67" s="38"/>
      <c r="N67" s="3"/>
      <c r="O67" s="3"/>
      <c r="P67" s="3"/>
    </row>
    <row r="68" spans="2:16" x14ac:dyDescent="0.2">
      <c r="B68" s="1" t="s">
        <v>58</v>
      </c>
    </row>
    <row r="69" spans="2:16" x14ac:dyDescent="0.2">
      <c r="B69" s="3" t="s">
        <v>61</v>
      </c>
      <c r="H69" s="39">
        <f>H26</f>
        <v>3772.7999999999997</v>
      </c>
      <c r="I69" s="39">
        <f t="shared" ref="I69:M69" ca="1" si="23">I26</f>
        <v>4276.7999999999993</v>
      </c>
      <c r="J69" s="39">
        <f t="shared" ca="1" si="23"/>
        <v>4836.6000000000004</v>
      </c>
      <c r="K69" s="39">
        <f t="shared" ca="1" si="23"/>
        <v>5458.4400000000005</v>
      </c>
      <c r="L69" s="39">
        <f t="shared" ca="1" si="23"/>
        <v>6149.2500000000018</v>
      </c>
      <c r="M69" s="39">
        <f t="shared" ca="1" si="23"/>
        <v>6916.7256000000034</v>
      </c>
    </row>
    <row r="70" spans="2:16" x14ac:dyDescent="0.2">
      <c r="B70" s="3" t="s">
        <v>75</v>
      </c>
      <c r="H70" s="39">
        <f>H17+H16</f>
        <v>1012</v>
      </c>
      <c r="I70" s="39">
        <f t="shared" ref="I70:M70" si="24">I17+I16</f>
        <v>1112</v>
      </c>
      <c r="J70" s="39">
        <f t="shared" si="24"/>
        <v>1222.0000000000002</v>
      </c>
      <c r="K70" s="39">
        <f t="shared" si="24"/>
        <v>1343.0000000000005</v>
      </c>
      <c r="L70" s="39">
        <f t="shared" si="24"/>
        <v>1476.1000000000006</v>
      </c>
      <c r="M70" s="39">
        <f t="shared" si="24"/>
        <v>1622.5100000000009</v>
      </c>
    </row>
    <row r="71" spans="2:16" x14ac:dyDescent="0.2">
      <c r="B71" s="3" t="s">
        <v>64</v>
      </c>
      <c r="H71" s="39">
        <f>-H37</f>
        <v>-2800</v>
      </c>
      <c r="I71" s="39">
        <f t="shared" ref="I71:M71" si="25">-I37</f>
        <v>-3080.0000000000005</v>
      </c>
      <c r="J71" s="39">
        <f t="shared" si="25"/>
        <v>-3388.0000000000009</v>
      </c>
      <c r="K71" s="39">
        <f t="shared" si="25"/>
        <v>-3726.8000000000015</v>
      </c>
      <c r="L71" s="39">
        <f t="shared" si="25"/>
        <v>-4099.4800000000023</v>
      </c>
      <c r="M71" s="39">
        <f t="shared" si="25"/>
        <v>-4509.4280000000026</v>
      </c>
    </row>
    <row r="72" spans="2:16" x14ac:dyDescent="0.2">
      <c r="B72" s="3" t="s">
        <v>65</v>
      </c>
      <c r="H72" s="39">
        <f>-H38</f>
        <v>-2000</v>
      </c>
      <c r="I72" s="39">
        <f t="shared" ref="I72:M72" ca="1" si="26">-I38</f>
        <v>-2190.2222222222222</v>
      </c>
      <c r="J72" s="39">
        <f t="shared" ca="1" si="26"/>
        <v>-2398.4888888888895</v>
      </c>
      <c r="K72" s="39">
        <f t="shared" ca="1" si="26"/>
        <v>-2626.5066666666676</v>
      </c>
      <c r="L72" s="39">
        <f t="shared" ca="1" si="26"/>
        <v>-2876.1431111111124</v>
      </c>
      <c r="M72" s="39">
        <f t="shared" ca="1" si="26"/>
        <v>-3149.441777777779</v>
      </c>
    </row>
    <row r="73" spans="2:16" x14ac:dyDescent="0.2">
      <c r="B73" s="3" t="s">
        <v>66</v>
      </c>
      <c r="H73" s="39">
        <f>H50</f>
        <v>1200</v>
      </c>
      <c r="I73" s="39">
        <f t="shared" ref="I73:M73" ca="1" si="27">I50</f>
        <v>1308.90756302521</v>
      </c>
      <c r="J73" s="39">
        <f t="shared" ca="1" si="27"/>
        <v>1403.4151260504204</v>
      </c>
      <c r="K73" s="39">
        <f t="shared" ca="1" si="27"/>
        <v>1506.885378151261</v>
      </c>
      <c r="L73" s="39">
        <f t="shared" ca="1" si="27"/>
        <v>1620.1657815126057</v>
      </c>
      <c r="M73" s="39">
        <f t="shared" ca="1" si="27"/>
        <v>1744.1836638655468</v>
      </c>
    </row>
    <row r="74" spans="2:16" x14ac:dyDescent="0.2">
      <c r="B74" s="12" t="s">
        <v>67</v>
      </c>
      <c r="C74" s="44"/>
      <c r="D74" s="44"/>
      <c r="E74" s="44"/>
      <c r="F74" s="44"/>
      <c r="G74" s="44"/>
      <c r="H74" s="46">
        <f>H51+H52</f>
        <v>750</v>
      </c>
      <c r="I74" s="46">
        <f t="shared" ref="I74:M74" ca="1" si="28">I51+I52</f>
        <v>838.49829944826547</v>
      </c>
      <c r="J74" s="46">
        <f t="shared" ca="1" si="28"/>
        <v>2115.6594056706654</v>
      </c>
      <c r="K74" s="46">
        <f t="shared" ca="1" si="28"/>
        <v>2313.9104260482823</v>
      </c>
      <c r="L74" s="46">
        <f t="shared" ca="1" si="28"/>
        <v>2533.1529548559893</v>
      </c>
      <c r="M74" s="46">
        <f t="shared" ca="1" si="28"/>
        <v>2775.6139158915485</v>
      </c>
    </row>
    <row r="75" spans="2:16" x14ac:dyDescent="0.2">
      <c r="B75" s="1" t="s">
        <v>68</v>
      </c>
      <c r="H75" s="39">
        <f>SUM(H69:H74)</f>
        <v>1934.7999999999993</v>
      </c>
      <c r="I75" s="39">
        <f t="shared" ref="I75:M75" ca="1" si="29">SUM(I69:I74)</f>
        <v>2265.9836402512519</v>
      </c>
      <c r="J75" s="39">
        <f t="shared" ca="1" si="29"/>
        <v>3791.1856428321958</v>
      </c>
      <c r="K75" s="39">
        <f t="shared" ca="1" si="29"/>
        <v>4268.9291375328748</v>
      </c>
      <c r="L75" s="39">
        <f t="shared" ca="1" si="29"/>
        <v>4803.0456252574822</v>
      </c>
      <c r="M75" s="39">
        <f t="shared" ca="1" si="29"/>
        <v>5400.1634019793173</v>
      </c>
    </row>
    <row r="79" spans="2:16" x14ac:dyDescent="0.2">
      <c r="B79" s="1" t="s">
        <v>59</v>
      </c>
    </row>
    <row r="80" spans="2:16" x14ac:dyDescent="0.2">
      <c r="B80" s="12" t="s">
        <v>72</v>
      </c>
      <c r="C80" s="44"/>
      <c r="D80" s="44"/>
      <c r="E80" s="44"/>
      <c r="F80" s="44"/>
      <c r="G80" s="44"/>
      <c r="H80" s="46">
        <v>0</v>
      </c>
      <c r="I80" s="46">
        <v>0</v>
      </c>
      <c r="J80" s="46">
        <v>0</v>
      </c>
      <c r="K80" s="46">
        <v>0</v>
      </c>
      <c r="L80" s="46">
        <v>0</v>
      </c>
      <c r="M80" s="46">
        <v>0</v>
      </c>
    </row>
    <row r="81" spans="2:13" x14ac:dyDescent="0.2">
      <c r="B81" s="1" t="s">
        <v>70</v>
      </c>
      <c r="H81" s="39">
        <f t="shared" ref="H81" si="30">SUM(H80)</f>
        <v>0</v>
      </c>
      <c r="I81" s="39">
        <f>SUM(I80)</f>
        <v>0</v>
      </c>
      <c r="J81" s="39">
        <f t="shared" ref="J81:M81" si="31">SUM(J80)</f>
        <v>0</v>
      </c>
      <c r="K81" s="39">
        <f t="shared" si="31"/>
        <v>0</v>
      </c>
      <c r="L81" s="39">
        <f t="shared" si="31"/>
        <v>0</v>
      </c>
      <c r="M81" s="39">
        <f t="shared" si="31"/>
        <v>0</v>
      </c>
    </row>
    <row r="83" spans="2:13" x14ac:dyDescent="0.2">
      <c r="B83" s="1" t="s">
        <v>60</v>
      </c>
    </row>
    <row r="84" spans="2:13" x14ac:dyDescent="0.2">
      <c r="B84" s="12" t="s">
        <v>69</v>
      </c>
      <c r="C84" s="44"/>
      <c r="D84" s="44"/>
      <c r="E84" s="44"/>
      <c r="F84" s="44"/>
      <c r="G84" s="44"/>
      <c r="H84" s="46">
        <v>0</v>
      </c>
      <c r="I84" s="46">
        <f>I56-H56</f>
        <v>-200</v>
      </c>
      <c r="J84" s="46">
        <f>J56-I56</f>
        <v>-200</v>
      </c>
      <c r="K84" s="46">
        <f>K56-J56</f>
        <v>-200</v>
      </c>
      <c r="L84" s="46">
        <f>L56-K56</f>
        <v>-200</v>
      </c>
      <c r="M84" s="46">
        <f>M56-L56</f>
        <v>-200</v>
      </c>
    </row>
    <row r="85" spans="2:13" x14ac:dyDescent="0.2">
      <c r="B85" s="1" t="s">
        <v>73</v>
      </c>
      <c r="H85" s="39">
        <f>SUM(H84)</f>
        <v>0</v>
      </c>
      <c r="I85" s="39">
        <f t="shared" ref="I85:M85" si="32">SUM(I84)</f>
        <v>-200</v>
      </c>
      <c r="J85" s="39">
        <f t="shared" si="32"/>
        <v>-200</v>
      </c>
      <c r="K85" s="39">
        <f t="shared" si="32"/>
        <v>-200</v>
      </c>
      <c r="L85" s="39">
        <f t="shared" si="32"/>
        <v>-200</v>
      </c>
      <c r="M85" s="39">
        <f t="shared" si="32"/>
        <v>-200</v>
      </c>
    </row>
    <row r="87" spans="2:13" x14ac:dyDescent="0.2">
      <c r="B87" s="1" t="s">
        <v>76</v>
      </c>
    </row>
    <row r="88" spans="2:13" x14ac:dyDescent="0.2">
      <c r="B88" s="1" t="s">
        <v>74</v>
      </c>
      <c r="H88" s="39">
        <f>H85+H81+H75</f>
        <v>1934.7999999999993</v>
      </c>
      <c r="I88" s="39">
        <f t="shared" ref="I88:M88" ca="1" si="33">I85+I81+I75</f>
        <v>2065.9836402512519</v>
      </c>
      <c r="J88" s="39">
        <f t="shared" ca="1" si="33"/>
        <v>3591.1856428321958</v>
      </c>
      <c r="K88" s="39">
        <f t="shared" ca="1" si="33"/>
        <v>4068.9291375328748</v>
      </c>
      <c r="L88" s="39">
        <f t="shared" ca="1" si="33"/>
        <v>4603.0456252574822</v>
      </c>
      <c r="M88" s="39">
        <f t="shared" ca="1" si="33"/>
        <v>5200.1634019793173</v>
      </c>
    </row>
    <row r="101" spans="2:16" ht="3" customHeight="1" thickBot="1" x14ac:dyDescent="0.25">
      <c r="B101" s="5"/>
      <c r="C101" s="5"/>
      <c r="D101" s="5"/>
      <c r="E101" s="5"/>
      <c r="F101" s="5"/>
      <c r="G101" s="5"/>
      <c r="H101" s="14"/>
      <c r="I101" s="14"/>
      <c r="J101" s="14"/>
      <c r="K101" s="14"/>
      <c r="L101" s="14"/>
      <c r="M101" s="14"/>
      <c r="N101" s="3"/>
      <c r="O101" s="3"/>
      <c r="P101" s="3"/>
    </row>
    <row r="102" spans="2:16" x14ac:dyDescent="0.2">
      <c r="B102" s="3"/>
      <c r="C102" s="3"/>
      <c r="D102" s="3"/>
      <c r="E102" s="3"/>
      <c r="F102" s="3"/>
      <c r="G102" s="3"/>
      <c r="H102" s="13"/>
      <c r="I102" s="13"/>
      <c r="J102" s="13"/>
      <c r="K102" s="13"/>
      <c r="L102" s="13"/>
      <c r="M102" s="13"/>
      <c r="N102" s="3"/>
      <c r="O102" s="3"/>
      <c r="P102" s="3"/>
    </row>
  </sheetData>
  <pageMargins left="0.25" right="0.25" top="0.25" bottom="0.25" header="0.3" footer="0.3"/>
  <pageSetup scale="91" orientation="landscape" r:id="rId1"/>
  <headerFooter alignWithMargins="0"/>
  <rowBreaks count="2" manualBreakCount="2">
    <brk id="29" min="1" max="12" man="1"/>
    <brk id="63" min="1" max="12" man="1"/>
  </rowBreaks>
  <colBreaks count="1" manualBreakCount="1">
    <brk id="13" max="53"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Cover</vt:lpstr>
      <vt:lpstr>Operating Assumptions</vt:lpstr>
      <vt:lpstr>Model&gt;&gt;&gt;</vt:lpstr>
      <vt:lpstr>Financial Statements</vt:lpstr>
      <vt:lpstr>Duration</vt:lpstr>
      <vt:lpstr>Cover!Print_Area</vt:lpstr>
      <vt:lpstr>'Financial Statements'!Print_Area</vt:lpstr>
      <vt:lpstr>'Operating Assumptions'!Print_Area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2010-04-30T05:01:16Z</cp:lastPrinted>
  <dcterms:created xsi:type="dcterms:W3CDTF">2004-01-31T05:32:10Z</dcterms:created>
  <dcterms:modified xsi:type="dcterms:W3CDTF">2020-04-17T22:21:03Z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{C1F1B52F-CDC0-44EB-A6DF-7F3CD8D05477}</vt:lpwstr>
  </property>
</Properties>
</file>