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4e37058671f746/Desktop/MDIT/data/KPT/"/>
    </mc:Choice>
  </mc:AlternateContent>
  <xr:revisionPtr revIDLastSave="0" documentId="8_{076ED4CA-3526-4C28-8AD1-84F12CFBDE50}" xr6:coauthVersionLast="47" xr6:coauthVersionMax="47" xr10:uidLastSave="{00000000-0000-0000-0000-000000000000}"/>
  <bookViews>
    <workbookView xWindow="-110" yWindow="-110" windowWidth="19420" windowHeight="10300" xr2:uid="{F84ECAFF-A113-4F71-86E6-20FA88687A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F39" i="1"/>
  <c r="H39" i="1" s="1"/>
  <c r="F38" i="1"/>
  <c r="F37" i="1"/>
  <c r="H37" i="1" s="1"/>
  <c r="F36" i="1"/>
  <c r="F35" i="1"/>
  <c r="H35" i="1" s="1"/>
  <c r="F34" i="1"/>
  <c r="F33" i="1"/>
  <c r="H33" i="1" s="1"/>
  <c r="F32" i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F16" i="1"/>
  <c r="H16" i="1" s="1"/>
  <c r="F15" i="1"/>
  <c r="F14" i="1"/>
  <c r="H14" i="1" s="1"/>
  <c r="G13" i="1"/>
  <c r="I13" i="1" s="1"/>
  <c r="F13" i="1"/>
  <c r="H13" i="1" s="1"/>
  <c r="G36" i="1" l="1"/>
  <c r="I36" i="1" s="1"/>
  <c r="G17" i="1"/>
  <c r="I17" i="1" s="1"/>
  <c r="G14" i="1"/>
  <c r="I14" i="1" s="1"/>
  <c r="G23" i="1"/>
  <c r="I23" i="1" s="1"/>
  <c r="G29" i="1"/>
  <c r="I29" i="1" s="1"/>
  <c r="G35" i="1"/>
  <c r="I35" i="1" s="1"/>
  <c r="G41" i="1"/>
  <c r="I41" i="1" s="1"/>
  <c r="G47" i="1"/>
  <c r="I47" i="1" s="1"/>
  <c r="H17" i="1"/>
  <c r="H32" i="1"/>
  <c r="G32" i="1" s="1"/>
  <c r="I32" i="1" s="1"/>
  <c r="H38" i="1"/>
  <c r="G38" i="1" s="1"/>
  <c r="I38" i="1" s="1"/>
  <c r="G18" i="1"/>
  <c r="I18" i="1" s="1"/>
  <c r="G21" i="1"/>
  <c r="I21" i="1" s="1"/>
  <c r="G27" i="1"/>
  <c r="I27" i="1" s="1"/>
  <c r="G33" i="1"/>
  <c r="I33" i="1" s="1"/>
  <c r="G42" i="1"/>
  <c r="I42" i="1" s="1"/>
  <c r="G45" i="1"/>
  <c r="I45" i="1" s="1"/>
  <c r="H15" i="1"/>
  <c r="G15" i="1" s="1"/>
  <c r="I15" i="1" s="1"/>
  <c r="H36" i="1"/>
  <c r="G19" i="1"/>
  <c r="I19" i="1" s="1"/>
  <c r="G25" i="1"/>
  <c r="I25" i="1" s="1"/>
  <c r="G31" i="1"/>
  <c r="I31" i="1" s="1"/>
  <c r="G37" i="1"/>
  <c r="I37" i="1" s="1"/>
  <c r="G43" i="1"/>
  <c r="I43" i="1" s="1"/>
  <c r="G46" i="1"/>
  <c r="I46" i="1" s="1"/>
  <c r="H34" i="1"/>
  <c r="G34" i="1" s="1"/>
  <c r="I34" i="1" s="1"/>
  <c r="H40" i="1"/>
  <c r="G40" i="1" s="1"/>
  <c r="I40" i="1" s="1"/>
  <c r="H49" i="1"/>
  <c r="G49" i="1" s="1"/>
  <c r="I49" i="1" s="1"/>
  <c r="G20" i="1"/>
  <c r="I20" i="1" s="1"/>
  <c r="G26" i="1"/>
  <c r="I26" i="1" s="1"/>
  <c r="G44" i="1"/>
  <c r="I44" i="1" s="1"/>
  <c r="G24" i="1"/>
  <c r="I24" i="1" s="1"/>
  <c r="G30" i="1"/>
  <c r="I30" i="1" s="1"/>
  <c r="G39" i="1"/>
  <c r="I39" i="1" s="1"/>
  <c r="G48" i="1"/>
  <c r="I48" i="1" s="1"/>
  <c r="G16" i="1"/>
  <c r="I16" i="1" s="1"/>
  <c r="G22" i="1"/>
  <c r="I22" i="1" s="1"/>
  <c r="G28" i="1"/>
  <c r="I28" i="1" s="1"/>
</calcChain>
</file>

<file path=xl/sharedStrings.xml><?xml version="1.0" encoding="utf-8"?>
<sst xmlns="http://schemas.openxmlformats.org/spreadsheetml/2006/main" count="105" uniqueCount="35">
  <si>
    <t xml:space="preserve">
Engineering, Manufacturing &amp; Construction</t>
  </si>
  <si>
    <t>STEM</t>
  </si>
  <si>
    <t>Health &amp; Welfare</t>
  </si>
  <si>
    <t>Education</t>
  </si>
  <si>
    <t>Non-STEM</t>
  </si>
  <si>
    <t>Services</t>
  </si>
  <si>
    <t xml:space="preserve">
Business, Administration and Law</t>
  </si>
  <si>
    <t xml:space="preserve">
Agriculture, Forestry, Fisheries &amp; Veterinary</t>
  </si>
  <si>
    <t xml:space="preserve">
Generic Programmes and Qualifications</t>
  </si>
  <si>
    <t xml:space="preserve">
Natural Sciences, Mathematics &amp; Statistics</t>
  </si>
  <si>
    <t xml:space="preserve">
Social Sciences, Journalism and Information</t>
  </si>
  <si>
    <t xml:space="preserve">
Arts &amp; Humanities</t>
  </si>
  <si>
    <t xml:space="preserve">
Information and Communication TechNon-STEMlogies</t>
  </si>
  <si>
    <t xml:space="preserve">
Generic Programmes and
Qualifications</t>
  </si>
  <si>
    <t xml:space="preserve">
Education</t>
  </si>
  <si>
    <t xml:space="preserve">Social Sciences, Journalism and Information
</t>
  </si>
  <si>
    <t>Business, Administration and Law</t>
  </si>
  <si>
    <t>Natural Sciences, Mathematics &amp; Statistics</t>
  </si>
  <si>
    <t>Information and Communication TechNon-STEMlogies</t>
  </si>
  <si>
    <t>Agriculture, Forestry, Fisheries &amp; Veterinary</t>
  </si>
  <si>
    <t xml:space="preserve">
Health &amp; Welfare</t>
  </si>
  <si>
    <t>Arts &amp; Humanities</t>
  </si>
  <si>
    <t>Natural Sciences, Mathematics &amp; Statistic</t>
  </si>
  <si>
    <t>Business, Administration &amp; Law</t>
  </si>
  <si>
    <t>Information &amp; Communication TechNon-STEMlogies</t>
  </si>
  <si>
    <t>Social Sciences, Journalism &amp; Information</t>
  </si>
  <si>
    <t>Year</t>
  </si>
  <si>
    <r>
      <t xml:space="preserve">
</t>
    </r>
    <r>
      <rPr>
        <b/>
        <i/>
        <sz val="9"/>
        <color rgb="FFFFFFFF"/>
        <rFont val="Arial"/>
        <family val="2"/>
      </rPr>
      <t>Field of Studies</t>
    </r>
  </si>
  <si>
    <t>STEM Field</t>
  </si>
  <si>
    <t xml:space="preserve">Total employed
</t>
  </si>
  <si>
    <t>% employed</t>
  </si>
  <si>
    <t xml:space="preserve">Total unemployed
</t>
  </si>
  <si>
    <t>% unemployed</t>
  </si>
  <si>
    <t>Total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</si>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</sst>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>
    <font>
      <sz val="11"/>
      <color theme="1"/>
      <name val="Aptos Narrow"/>
      <family val="2"/>
      <scheme val="minor"/>
    </font>
    <font>
      <b/>
      <sz val="9"/>
      <name val="Arial"/>
      <family val="2"/>
    </font>
    <font>
      <sz val="9"/>
      <name val="Times New Roman"/>
      <family val="1"/>
    </font>
    <font>
      <sz val="9"/>
      <name val="Arial MT"/>
      <family val="2"/>
    </font>
    <font>
      <sz val="9"/>
      <color theme="1"/>
      <name val="Aptos Narrow"/>
      <family val="2"/>
      <scheme val="minor"/>
    </font>
    <font>
      <b/>
      <sz val="9"/>
      <color rgb="FFFFFFFF"/>
      <name val="Arial"/>
      <family val="2"/>
    </font>
    <font>
      <b/>
      <i/>
      <sz val="9"/>
      <color rgb="FFFFFFFF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BECA"/>
      </patternFill>
    </fill>
    <fill>
      <patternFill patternType="solid">
        <fgColor rgb="FFA4002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center" shrinkToFit="1"/>
    </xf>
    <xf numFmtId="164" fontId="3" fillId="2" borderId="1" xfId="0" applyNumberFormat="1" applyFont="1" applyFill="1" applyBorder="1" applyAlignment="1">
      <alignment horizontal="center" vertical="center" shrinkToFit="1"/>
    </xf>
    <xf numFmtId="3" fontId="3" fillId="2" borderId="1" xfId="0" applyNumberFormat="1" applyFont="1" applyFill="1" applyBorder="1" applyAlignment="1">
      <alignment horizontal="left" vertical="center" indent="2" shrinkToFi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3" fontId="3" fillId="3" borderId="1" xfId="0" applyNumberFormat="1" applyFont="1" applyFill="1" applyBorder="1" applyAlignment="1">
      <alignment horizontal="center" vertical="center" shrinkToFit="1"/>
    </xf>
    <xf numFmtId="164" fontId="3" fillId="3" borderId="1" xfId="0" applyNumberFormat="1" applyFont="1" applyFill="1" applyBorder="1" applyAlignment="1">
      <alignment horizontal="center" vertical="center" shrinkToFit="1"/>
    </xf>
    <xf numFmtId="1" fontId="3" fillId="3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left" vertical="center" indent="2" shrinkToFit="1"/>
    </xf>
    <xf numFmtId="3" fontId="3" fillId="3" borderId="1" xfId="0" applyNumberFormat="1" applyFont="1" applyFill="1" applyBorder="1" applyAlignment="1">
      <alignment horizontal="left" vertical="center" indent="3" shrinkToFit="1"/>
    </xf>
    <xf numFmtId="1" fontId="3" fillId="2" borderId="1" xfId="0" applyNumberFormat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0" fillId="0" borderId="1" xfId="0" applyBorder="1"/>
    <xf numFmtId="0" fontId="4" fillId="0" borderId="1" xfId="0" applyFont="1" applyBorder="1"/>
    <xf numFmtId="164" fontId="4" fillId="0" borderId="1" xfId="0" applyNumberFormat="1" applyFont="1" applyBorder="1"/>
  </cellXfs>
  <cellStyles count="1">
    <cellStyle name="Normal" xfId="0" builtinId="0"/>
  </cellStyles>
  <dxfs count="26"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indexed="64"/>
          <bgColor rgb="FFA4002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family val="2"/>
        <scheme val="none"/>
      </font>
      <fill>
        <patternFill patternType="solid">
          <fgColor indexed="64"/>
          <bgColor rgb="FFA4002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2" defaultPivotStyle="PivotStyleLight16">
    <tableStyle name="Table Style 2" pivot="0" count="3" xr9:uid="{0D78C2D2-A3C3-4D7F-8E4B-C04638C4C6FD}">
      <tableStyleElement type="wholeTable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255F43-50BD-4AED-9408-E6759964D82C}" name="Table6" displayName="Table6" ref="B1:I49" totalsRowShown="0" headerRowDxfId="22" dataDxfId="21" headerRowBorderDxfId="19" tableBorderDxfId="20" totalsRowBorderDxfId="18">
  <tableColumns count="8">
    <tableColumn id="1" xr3:uid="{3E371831-6E97-4581-AA6A-9E054A3F3270}" name="_x000a_Field of Studies" dataDxfId="16" totalsRowDxfId="17"/>
    <tableColumn id="8" xr3:uid="{DBE0D692-E947-46A8-A97D-54371A0E4A76}" name="STEM Field" dataDxfId="14" totalsRowDxfId="15"/>
    <tableColumn id="2" xr3:uid="{DE0696F2-94E8-4127-99E0-531D55CB736D}" name="Total employed_x000a_" dataDxfId="12" totalsRowDxfId="13"/>
    <tableColumn id="3" xr3:uid="{15D45AFA-F9DF-4A52-BC6E-584869B2786A}" name="% employed" dataDxfId="10" totalsRowDxfId="11"/>
    <tableColumn id="4" xr3:uid="{5563B50A-063A-4438-AB5B-EDD02BCDCE5D}" name="Total unemployed_x000a_" dataDxfId="8" totalsRowDxfId="9"/>
    <tableColumn id="5" xr3:uid="{23D86219-CA9B-4C6F-8F2F-E6108990583B}" name="% unemployed" dataDxfId="6" totalsRowDxfId="7"/>
    <tableColumn id="6" xr3:uid="{C0ACF4C9-389D-4A4E-BBB2-A161562B5A10}" name="Total" dataDxfId="4" totalsRowDxfId="5"/>
    <tableColumn id="7" xr3:uid="{3F861FE5-0F61-4C72-9669-60E549358301}" name="% Total" dataDxfId="2" totalsRowDxfId="3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FF9EC-174C-4574-AFC8-4893722A0115}" name="Table1" displayName="Table1" ref="A1:A49" totalsRowShown="0" headerRowDxfId="1" headerRowBorderDxfId="0">
  <autoFilter ref="A1:A49" xr:uid="{540FF9EC-174C-4574-AFC8-4893722A0115}"/>
  <tableColumns count="1">
    <tableColumn id="1" xr3:uid="{F0AB7E60-5AAD-436D-BC20-933CDC8367B3}" name="Year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F8D4-A3CB-4049-B39A-1B75C174E885}">
  <dimension ref="A1:I49"/>
  <sheetViews>
    <sheetView tabSelected="1" topLeftCell="A7" workbookViewId="0">
      <selection activeCell="J2" sqref="J2"/>
    </sheetView>
  </sheetViews>
  <sheetFormatPr defaultRowHeight="14.5"/>
  <cols>
    <col min="1" max="1" width="9.08984375" bestFit="1" customWidth="1"/>
    <col min="2" max="2" width="22.81640625" customWidth="1"/>
    <col min="3" max="3" width="10.08984375" customWidth="1"/>
    <col min="5" max="5" width="14.453125" customWidth="1"/>
    <col min="6" max="6" width="11.54296875" customWidth="1"/>
    <col min="7" max="7" width="13.08984375" customWidth="1"/>
  </cols>
  <sheetData>
    <row r="1" spans="1:9" ht="46">
      <c r="A1" s="14" t="s">
        <v>26</v>
      </c>
      <c r="B1" s="14" t="s">
        <v>27</v>
      </c>
      <c r="C1" s="14" t="s">
        <v>28</v>
      </c>
      <c r="D1" s="15" t="s">
        <v>29</v>
      </c>
      <c r="E1" s="16" t="s">
        <v>30</v>
      </c>
      <c r="F1" s="15" t="s">
        <v>31</v>
      </c>
      <c r="G1" s="16" t="s">
        <v>32</v>
      </c>
      <c r="H1" s="15" t="s">
        <v>33</v>
      </c>
      <c r="I1" s="15" t="s">
        <v>34</v>
      </c>
    </row>
    <row r="2" spans="1:9" ht="80.5">
      <c r="A2" s="17">
        <v>2024</v>
      </c>
      <c r="B2" s="1" t="s">
        <v>0</v>
      </c>
      <c r="C2" s="2" t="s">
        <v>1</v>
      </c>
      <c r="D2" s="3">
        <v>59300</v>
      </c>
      <c r="E2" s="4">
        <v>94.9</v>
      </c>
      <c r="F2" s="3">
        <v>3203</v>
      </c>
      <c r="G2" s="4">
        <v>5.0999999999999996</v>
      </c>
      <c r="H2" s="5">
        <v>62503</v>
      </c>
      <c r="I2" s="4">
        <v>100</v>
      </c>
    </row>
    <row r="3" spans="1:9" ht="23">
      <c r="A3" s="17">
        <v>2024</v>
      </c>
      <c r="B3" s="6" t="s">
        <v>2</v>
      </c>
      <c r="C3" s="7" t="s">
        <v>1</v>
      </c>
      <c r="D3" s="8">
        <v>12095</v>
      </c>
      <c r="E3" s="9">
        <v>92.6</v>
      </c>
      <c r="F3" s="10">
        <v>972</v>
      </c>
      <c r="G3" s="9">
        <v>7.4</v>
      </c>
      <c r="H3" s="11">
        <v>13067</v>
      </c>
      <c r="I3" s="9">
        <v>100</v>
      </c>
    </row>
    <row r="4" spans="1:9">
      <c r="A4" s="17">
        <v>2024</v>
      </c>
      <c r="B4" s="1" t="s">
        <v>3</v>
      </c>
      <c r="C4" s="2" t="s">
        <v>4</v>
      </c>
      <c r="D4" s="3">
        <v>17961</v>
      </c>
      <c r="E4" s="4">
        <v>89.8</v>
      </c>
      <c r="F4" s="3">
        <v>2042</v>
      </c>
      <c r="G4" s="4">
        <v>10.199999999999999</v>
      </c>
      <c r="H4" s="5">
        <v>20003</v>
      </c>
      <c r="I4" s="4">
        <v>100</v>
      </c>
    </row>
    <row r="5" spans="1:9">
      <c r="A5" s="17">
        <v>2024</v>
      </c>
      <c r="B5" s="6" t="s">
        <v>5</v>
      </c>
      <c r="C5" s="7" t="s">
        <v>4</v>
      </c>
      <c r="D5" s="8">
        <v>12652</v>
      </c>
      <c r="E5" s="9">
        <v>89.9</v>
      </c>
      <c r="F5" s="8">
        <v>1428</v>
      </c>
      <c r="G5" s="9">
        <v>10.1</v>
      </c>
      <c r="H5" s="11">
        <v>14080</v>
      </c>
      <c r="I5" s="9">
        <v>100</v>
      </c>
    </row>
    <row r="6" spans="1:9" ht="57.5">
      <c r="A6" s="17">
        <v>2024</v>
      </c>
      <c r="B6" s="1" t="s">
        <v>6</v>
      </c>
      <c r="C6" s="2" t="s">
        <v>4</v>
      </c>
      <c r="D6" s="3">
        <v>56633</v>
      </c>
      <c r="E6" s="4">
        <v>92.2</v>
      </c>
      <c r="F6" s="3">
        <v>4809</v>
      </c>
      <c r="G6" s="4">
        <v>7.8</v>
      </c>
      <c r="H6" s="5">
        <v>61442</v>
      </c>
      <c r="I6" s="4">
        <v>100</v>
      </c>
    </row>
    <row r="7" spans="1:9" ht="92">
      <c r="A7" s="17">
        <v>2024</v>
      </c>
      <c r="B7" s="6" t="s">
        <v>7</v>
      </c>
      <c r="C7" s="7" t="s">
        <v>1</v>
      </c>
      <c r="D7" s="8">
        <v>3012</v>
      </c>
      <c r="E7" s="9">
        <v>90</v>
      </c>
      <c r="F7" s="10">
        <v>336</v>
      </c>
      <c r="G7" s="9">
        <v>10</v>
      </c>
      <c r="H7" s="12">
        <v>3348</v>
      </c>
      <c r="I7" s="9">
        <v>100</v>
      </c>
    </row>
    <row r="8" spans="1:9" ht="69">
      <c r="A8" s="17">
        <v>2024</v>
      </c>
      <c r="B8" s="1" t="s">
        <v>8</v>
      </c>
      <c r="C8" s="2" t="s">
        <v>4</v>
      </c>
      <c r="D8" s="13">
        <v>39</v>
      </c>
      <c r="E8" s="4">
        <v>90.7</v>
      </c>
      <c r="F8" s="13">
        <v>4</v>
      </c>
      <c r="G8" s="4">
        <v>9.3000000000000007</v>
      </c>
      <c r="H8" s="13">
        <v>43</v>
      </c>
      <c r="I8" s="4">
        <v>100</v>
      </c>
    </row>
    <row r="9" spans="1:9" ht="69">
      <c r="A9" s="17">
        <v>2024</v>
      </c>
      <c r="B9" s="6" t="s">
        <v>9</v>
      </c>
      <c r="C9" s="7" t="s">
        <v>1</v>
      </c>
      <c r="D9" s="8">
        <v>9299</v>
      </c>
      <c r="E9" s="9">
        <v>92.5</v>
      </c>
      <c r="F9" s="10">
        <v>759</v>
      </c>
      <c r="G9" s="9">
        <v>7.5</v>
      </c>
      <c r="H9" s="11">
        <v>10058</v>
      </c>
      <c r="I9" s="9">
        <v>100</v>
      </c>
    </row>
    <row r="10" spans="1:9" ht="80.5">
      <c r="A10" s="17">
        <v>2024</v>
      </c>
      <c r="B10" s="1" t="s">
        <v>10</v>
      </c>
      <c r="C10" s="2" t="s">
        <v>4</v>
      </c>
      <c r="D10" s="3">
        <v>11146</v>
      </c>
      <c r="E10" s="4">
        <v>90.8</v>
      </c>
      <c r="F10" s="3">
        <v>1134</v>
      </c>
      <c r="G10" s="4">
        <v>9.1999999999999993</v>
      </c>
      <c r="H10" s="5">
        <v>12280</v>
      </c>
      <c r="I10" s="4">
        <v>100</v>
      </c>
    </row>
    <row r="11" spans="1:9" ht="46">
      <c r="A11" s="17">
        <v>2024</v>
      </c>
      <c r="B11" s="6" t="s">
        <v>11</v>
      </c>
      <c r="C11" s="7" t="s">
        <v>4</v>
      </c>
      <c r="D11" s="8">
        <v>17263</v>
      </c>
      <c r="E11" s="9">
        <v>90.8</v>
      </c>
      <c r="F11" s="8">
        <v>1756</v>
      </c>
      <c r="G11" s="9">
        <v>9.1999999999999993</v>
      </c>
      <c r="H11" s="11">
        <v>19019</v>
      </c>
      <c r="I11" s="9">
        <v>100</v>
      </c>
    </row>
    <row r="12" spans="1:9" ht="92">
      <c r="A12" s="17">
        <v>2024</v>
      </c>
      <c r="B12" s="1" t="s">
        <v>12</v>
      </c>
      <c r="C12" s="2" t="s">
        <v>1</v>
      </c>
      <c r="D12" s="3">
        <v>14998</v>
      </c>
      <c r="E12" s="4">
        <v>93.7</v>
      </c>
      <c r="F12" s="3">
        <v>1000</v>
      </c>
      <c r="G12" s="4">
        <v>6.3</v>
      </c>
      <c r="H12" s="5">
        <v>15998</v>
      </c>
      <c r="I12" s="4">
        <v>100</v>
      </c>
    </row>
    <row r="13" spans="1:9" ht="69">
      <c r="A13" s="17">
        <v>2023</v>
      </c>
      <c r="B13" s="6" t="s">
        <v>13</v>
      </c>
      <c r="C13" s="18" t="s">
        <v>4</v>
      </c>
      <c r="D13" s="18">
        <v>55</v>
      </c>
      <c r="E13" s="18">
        <v>80.900000000000006</v>
      </c>
      <c r="F13" s="18">
        <f>3+3+3+4</f>
        <v>13</v>
      </c>
      <c r="G13" s="18">
        <f xml:space="preserve"> 4.4+4.4+4.4+5.9</f>
        <v>19.100000000000001</v>
      </c>
      <c r="H13" s="18">
        <f>SUM(D13,F13)</f>
        <v>68</v>
      </c>
      <c r="I13" s="19">
        <f>SUM(Table6[[#This Row],[% employed]],G13)</f>
        <v>100</v>
      </c>
    </row>
    <row r="14" spans="1:9" ht="23">
      <c r="A14" s="17">
        <v>2023</v>
      </c>
      <c r="B14" s="1" t="s">
        <v>14</v>
      </c>
      <c r="C14" s="18" t="s">
        <v>4</v>
      </c>
      <c r="D14" s="18">
        <v>15097</v>
      </c>
      <c r="E14" s="18">
        <v>70.900000000000006</v>
      </c>
      <c r="F14" s="18">
        <f>1523+341+1410+2913</f>
        <v>6187</v>
      </c>
      <c r="G14" s="19">
        <f>(Table6[[#This Row],[Total unemployed
]]/Table6[[#This Row],[Total]])*100</f>
        <v>29.068784063146026</v>
      </c>
      <c r="H14" s="18">
        <f>SUM(Table6[[#This Row],[Total employed
]],Table6[[#This Row],[Total unemployed
]])</f>
        <v>21284</v>
      </c>
      <c r="I14" s="19">
        <f>SUM(Table6[[#This Row],[% employed]],G14)</f>
        <v>99.968784063146032</v>
      </c>
    </row>
    <row r="15" spans="1:9" ht="46">
      <c r="A15" s="17">
        <v>2023</v>
      </c>
      <c r="B15" s="6" t="s">
        <v>11</v>
      </c>
      <c r="C15" s="18" t="s">
        <v>4</v>
      </c>
      <c r="D15" s="18">
        <v>17127</v>
      </c>
      <c r="E15" s="18">
        <v>63.5</v>
      </c>
      <c r="F15" s="18">
        <f>5383+424+521+3516</f>
        <v>9844</v>
      </c>
      <c r="G15" s="19">
        <f>(Table6[[#This Row],[Total unemployed
]]/Table6[[#This Row],[Total]])*100</f>
        <v>36.498461310296243</v>
      </c>
      <c r="H15" s="18">
        <f>SUM(Table6[[#This Row],[Total employed
]],Table6[[#This Row],[Total unemployed
]])</f>
        <v>26971</v>
      </c>
      <c r="I15" s="19">
        <f>SUM(Table6[[#This Row],[% employed]],G15)</f>
        <v>99.99846131029625</v>
      </c>
    </row>
    <row r="16" spans="1:9" ht="80.5">
      <c r="A16" s="17">
        <v>2023</v>
      </c>
      <c r="B16" s="1" t="s">
        <v>15</v>
      </c>
      <c r="C16" s="18" t="s">
        <v>4</v>
      </c>
      <c r="D16" s="18">
        <v>9504</v>
      </c>
      <c r="E16" s="18">
        <v>69.2</v>
      </c>
      <c r="F16" s="18">
        <f>1725+353+435+1727</f>
        <v>4240</v>
      </c>
      <c r="G16" s="19">
        <f>(Table6[[#This Row],[Total unemployed
]]/Table6[[#This Row],[Total]])*100</f>
        <v>30.849825378346914</v>
      </c>
      <c r="H16" s="18">
        <f>SUM(Table6[[#This Row],[Total employed
]],Table6[[#This Row],[Total unemployed
]])</f>
        <v>13744</v>
      </c>
      <c r="I16" s="19">
        <f>SUM(Table6[[#This Row],[% employed]],G16)</f>
        <v>100.04982537834692</v>
      </c>
    </row>
    <row r="17" spans="1:9" ht="46">
      <c r="A17" s="17">
        <v>2023</v>
      </c>
      <c r="B17" s="6" t="s">
        <v>16</v>
      </c>
      <c r="C17" s="18" t="s">
        <v>4</v>
      </c>
      <c r="D17" s="18">
        <v>58628</v>
      </c>
      <c r="E17" s="18">
        <v>68.7</v>
      </c>
      <c r="F17" s="18">
        <f>14061+1215+1972+9424</f>
        <v>26672</v>
      </c>
      <c r="G17" s="19">
        <f>(Table6[[#This Row],[Total unemployed
]]/Table6[[#This Row],[Total]])*100</f>
        <v>31.268464243845251</v>
      </c>
      <c r="H17" s="18">
        <f>SUM(Table6[[#This Row],[Total employed
]],Table6[[#This Row],[Total unemployed
]])</f>
        <v>85300</v>
      </c>
      <c r="I17" s="19">
        <f>SUM(Table6[[#This Row],[% employed]],G17)</f>
        <v>99.968464243845261</v>
      </c>
    </row>
    <row r="18" spans="1:9" ht="57.5">
      <c r="A18" s="17">
        <v>2023</v>
      </c>
      <c r="B18" s="1" t="s">
        <v>17</v>
      </c>
      <c r="C18" s="18" t="s">
        <v>1</v>
      </c>
      <c r="D18" s="18">
        <v>8050</v>
      </c>
      <c r="E18" s="18">
        <v>59.3</v>
      </c>
      <c r="F18" s="18">
        <f>3225+607+447+1236</f>
        <v>5515</v>
      </c>
      <c r="G18" s="19">
        <f>(Table6[[#This Row],[Total unemployed
]]/Table6[[#This Row],[Total]])*100</f>
        <v>40.656100258016956</v>
      </c>
      <c r="H18" s="18">
        <f>SUM(Table6[[#This Row],[Total employed
]],Table6[[#This Row],[Total unemployed
]])</f>
        <v>13565</v>
      </c>
      <c r="I18" s="19">
        <f>SUM(Table6[[#This Row],[% employed]],G18)</f>
        <v>99.95610025801696</v>
      </c>
    </row>
    <row r="19" spans="1:9" ht="80.5">
      <c r="A19" s="17">
        <v>2023</v>
      </c>
      <c r="B19" s="6" t="s">
        <v>18</v>
      </c>
      <c r="C19" s="18" t="s">
        <v>1</v>
      </c>
      <c r="D19" s="18">
        <v>14467</v>
      </c>
      <c r="E19" s="18">
        <v>64.7</v>
      </c>
      <c r="F19" s="18">
        <f>5164+443+434+1866</f>
        <v>7907</v>
      </c>
      <c r="G19" s="19">
        <f>(Table6[[#This Row],[Total unemployed
]]/Table6[[#This Row],[Total]])*100</f>
        <v>35.340126933047287</v>
      </c>
      <c r="H19" s="18">
        <f>SUM(Table6[[#This Row],[Total employed
]],Table6[[#This Row],[Total unemployed
]])</f>
        <v>22374</v>
      </c>
      <c r="I19" s="19">
        <f>SUM(Table6[[#This Row],[% employed]],G19)</f>
        <v>100.04012693304729</v>
      </c>
    </row>
    <row r="20" spans="1:9" ht="80.5">
      <c r="A20" s="17">
        <v>2023</v>
      </c>
      <c r="B20" s="1" t="s">
        <v>0</v>
      </c>
      <c r="C20" s="18" t="s">
        <v>1</v>
      </c>
      <c r="D20" s="18">
        <v>55631</v>
      </c>
      <c r="E20" s="18">
        <v>70.599999999999994</v>
      </c>
      <c r="F20" s="18">
        <f>14164+1888+1997+5138</f>
        <v>23187</v>
      </c>
      <c r="G20" s="19">
        <f>(Table6[[#This Row],[Total unemployed
]]/Table6[[#This Row],[Total]])*100</f>
        <v>29.418406962876496</v>
      </c>
      <c r="H20" s="18">
        <f>SUM(Table6[[#This Row],[Total employed
]],Table6[[#This Row],[Total unemployed
]])</f>
        <v>78818</v>
      </c>
      <c r="I20" s="19">
        <f>SUM(Table6[[#This Row],[% employed]],G20)</f>
        <v>100.0184069628765</v>
      </c>
    </row>
    <row r="21" spans="1:9" ht="80.5">
      <c r="A21" s="17">
        <v>2023</v>
      </c>
      <c r="B21" s="6" t="s">
        <v>19</v>
      </c>
      <c r="C21" s="18" t="s">
        <v>1</v>
      </c>
      <c r="D21" s="18">
        <v>2749</v>
      </c>
      <c r="E21" s="18">
        <v>57</v>
      </c>
      <c r="F21" s="18">
        <f>1066+253+170+588</f>
        <v>2077</v>
      </c>
      <c r="G21" s="19">
        <f>(Table6[[#This Row],[Total unemployed
]]/Table6[[#This Row],[Total]])*100</f>
        <v>43.037712391214257</v>
      </c>
      <c r="H21" s="18">
        <f>SUM(Table6[[#This Row],[Total employed
]],Table6[[#This Row],[Total unemployed
]])</f>
        <v>4826</v>
      </c>
      <c r="I21" s="19">
        <f>SUM(Table6[[#This Row],[% employed]],G21)</f>
        <v>100.03771239121426</v>
      </c>
    </row>
    <row r="22" spans="1:9" ht="34.5">
      <c r="A22" s="17">
        <v>2023</v>
      </c>
      <c r="B22" s="1" t="s">
        <v>20</v>
      </c>
      <c r="C22" s="18" t="s">
        <v>1</v>
      </c>
      <c r="D22" s="18">
        <v>11740</v>
      </c>
      <c r="E22" s="18">
        <v>67.2</v>
      </c>
      <c r="F22" s="18">
        <f>1187+166+2301+2088</f>
        <v>5742</v>
      </c>
      <c r="G22" s="19">
        <f>(Table6[[#This Row],[Total unemployed
]]/Table6[[#This Row],[Total]])*100</f>
        <v>32.845212218281659</v>
      </c>
      <c r="H22" s="18">
        <f>SUM(Table6[[#This Row],[Total employed
]],Table6[[#This Row],[Total unemployed
]])</f>
        <v>17482</v>
      </c>
      <c r="I22" s="19">
        <f>SUM(Table6[[#This Row],[% employed]],G22)</f>
        <v>100.04521221828166</v>
      </c>
    </row>
    <row r="23" spans="1:9">
      <c r="A23" s="17">
        <v>2023</v>
      </c>
      <c r="B23" s="6" t="s">
        <v>5</v>
      </c>
      <c r="C23" s="18" t="s">
        <v>4</v>
      </c>
      <c r="D23" s="18">
        <v>13752</v>
      </c>
      <c r="E23" s="18">
        <v>68.599999999999994</v>
      </c>
      <c r="F23" s="18">
        <f>3009+178+489+2606</f>
        <v>6282</v>
      </c>
      <c r="G23" s="19">
        <f>(Table6[[#This Row],[Total unemployed
]]/Table6[[#This Row],[Total]])*100</f>
        <v>31.356693620844567</v>
      </c>
      <c r="H23" s="18">
        <f>SUM(Table6[[#This Row],[Total employed
]],Table6[[#This Row],[Total unemployed
]])</f>
        <v>20034</v>
      </c>
      <c r="I23" s="19">
        <f>SUM(Table6[[#This Row],[% employed]],G23)</f>
        <v>99.956693620844561</v>
      </c>
    </row>
    <row r="24" spans="1:9" ht="23">
      <c r="A24" s="17">
        <v>2022</v>
      </c>
      <c r="B24" s="6" t="s">
        <v>14</v>
      </c>
      <c r="C24" s="18" t="s">
        <v>4</v>
      </c>
      <c r="D24" s="18">
        <v>13733</v>
      </c>
      <c r="E24" s="18">
        <v>77.900000000000006</v>
      </c>
      <c r="F24" s="18">
        <f>1069+277+769+1782</f>
        <v>3897</v>
      </c>
      <c r="G24" s="19">
        <f>(Table6[[#This Row],[Total unemployed
]]/Table6[[#This Row],[Total]])*100</f>
        <v>22.104367555303462</v>
      </c>
      <c r="H24" s="18">
        <f>SUM(Table6[[#This Row],[Total employed
]],Table6[[#This Row],[Total unemployed
]])</f>
        <v>17630</v>
      </c>
      <c r="I24" s="19">
        <f>SUM(Table6[[#This Row],[% employed]],G24)</f>
        <v>100.00436755530347</v>
      </c>
    </row>
    <row r="25" spans="1:9" ht="34.5">
      <c r="A25" s="17">
        <v>2022</v>
      </c>
      <c r="B25" s="1" t="s">
        <v>21</v>
      </c>
      <c r="C25" s="18" t="s">
        <v>4</v>
      </c>
      <c r="D25" s="18">
        <v>17243</v>
      </c>
      <c r="E25" s="18">
        <v>67</v>
      </c>
      <c r="F25" s="18">
        <f>4402+376+467+3258</f>
        <v>8503</v>
      </c>
      <c r="G25" s="19">
        <f>(Table6[[#This Row],[Total unemployed
]]/Table6[[#This Row],[Total]])*100</f>
        <v>33.026489551775036</v>
      </c>
      <c r="H25" s="18">
        <f>SUM(Table6[[#This Row],[Total employed
]],Table6[[#This Row],[Total unemployed
]])</f>
        <v>25746</v>
      </c>
      <c r="I25" s="19">
        <f>SUM(Table6[[#This Row],[% employed]],G25)</f>
        <v>100.02648955177503</v>
      </c>
    </row>
    <row r="26" spans="1:9" ht="57.5">
      <c r="A26" s="17">
        <v>2022</v>
      </c>
      <c r="B26" s="6" t="s">
        <v>22</v>
      </c>
      <c r="C26" s="18" t="s">
        <v>1</v>
      </c>
      <c r="D26" s="18">
        <v>8326</v>
      </c>
      <c r="E26" s="18">
        <v>61.1</v>
      </c>
      <c r="F26" s="18">
        <f>3068+442+446+1335</f>
        <v>5291</v>
      </c>
      <c r="G26" s="19">
        <f>(Table6[[#This Row],[Total unemployed
]]/Table6[[#This Row],[Total]])*100</f>
        <v>38.855841962253066</v>
      </c>
      <c r="H26" s="18">
        <f>SUM(Table6[[#This Row],[Total employed
]],Table6[[#This Row],[Total unemployed
]])</f>
        <v>13617</v>
      </c>
      <c r="I26" s="19">
        <f>SUM(Table6[[#This Row],[% employed]],G26)</f>
        <v>99.955841962253061</v>
      </c>
    </row>
    <row r="27" spans="1:9" ht="46">
      <c r="A27" s="17">
        <v>2022</v>
      </c>
      <c r="B27" s="1" t="s">
        <v>23</v>
      </c>
      <c r="C27" s="18" t="s">
        <v>4</v>
      </c>
      <c r="D27" s="18">
        <v>58250</v>
      </c>
      <c r="E27" s="18">
        <v>67.900000000000006</v>
      </c>
      <c r="F27" s="18">
        <f>15711+914+1684+9175</f>
        <v>27484</v>
      </c>
      <c r="G27" s="19">
        <f>(Table6[[#This Row],[Total unemployed
]]/Table6[[#This Row],[Total]])*100</f>
        <v>32.057293489164159</v>
      </c>
      <c r="H27" s="18">
        <f>SUM(Table6[[#This Row],[Total employed
]],Table6[[#This Row],[Total unemployed
]])</f>
        <v>85734</v>
      </c>
      <c r="I27" s="19">
        <f>SUM(Table6[[#This Row],[% employed]],G27)</f>
        <v>99.957293489164158</v>
      </c>
    </row>
    <row r="28" spans="1:9" ht="80.5">
      <c r="A28" s="17">
        <v>2022</v>
      </c>
      <c r="B28" s="6" t="s">
        <v>24</v>
      </c>
      <c r="C28" s="18" t="s">
        <v>1</v>
      </c>
      <c r="D28" s="18">
        <v>13774</v>
      </c>
      <c r="E28" s="18">
        <v>65.900000000000006</v>
      </c>
      <c r="F28" s="18">
        <f>4776+259+383+1702</f>
        <v>7120</v>
      </c>
      <c r="G28" s="19">
        <f>(Table6[[#This Row],[Total unemployed
]]/Table6[[#This Row],[Total]])*100</f>
        <v>34.076768450272802</v>
      </c>
      <c r="H28" s="18">
        <f>SUM(Table6[[#This Row],[Total employed
]],Table6[[#This Row],[Total unemployed
]])</f>
        <v>20894</v>
      </c>
      <c r="I28" s="19">
        <f>SUM(Table6[[#This Row],[% employed]],G28)</f>
        <v>99.9767684502728</v>
      </c>
    </row>
    <row r="29" spans="1:9" ht="80.5">
      <c r="A29" s="17">
        <v>2022</v>
      </c>
      <c r="B29" s="1" t="s">
        <v>0</v>
      </c>
      <c r="C29" s="18" t="s">
        <v>1</v>
      </c>
      <c r="D29" s="18">
        <v>55941</v>
      </c>
      <c r="E29" s="18">
        <v>71.400000000000006</v>
      </c>
      <c r="F29" s="18">
        <f>13340+1646+1696+5708</f>
        <v>22390</v>
      </c>
      <c r="G29" s="19">
        <f>(Table6[[#This Row],[Total unemployed
]]/Table6[[#This Row],[Total]])*100</f>
        <v>28.583830156642964</v>
      </c>
      <c r="H29" s="18">
        <f>SUM(Table6[[#This Row],[Total employed
]],Table6[[#This Row],[Total unemployed
]])</f>
        <v>78331</v>
      </c>
      <c r="I29" s="19">
        <f>SUM(Table6[[#This Row],[% employed]],G29)</f>
        <v>99.983830156642966</v>
      </c>
    </row>
    <row r="30" spans="1:9" ht="80.5">
      <c r="A30" s="17">
        <v>2022</v>
      </c>
      <c r="B30" s="6" t="s">
        <v>19</v>
      </c>
      <c r="C30" s="18" t="s">
        <v>1</v>
      </c>
      <c r="D30" s="18">
        <v>2810</v>
      </c>
      <c r="E30" s="18">
        <v>59.9</v>
      </c>
      <c r="F30" s="18">
        <f>1068+117+130+570</f>
        <v>1885</v>
      </c>
      <c r="G30" s="19">
        <f>(Table6[[#This Row],[Total unemployed
]]/Table6[[#This Row],[Total]])*100</f>
        <v>40.149094781682642</v>
      </c>
      <c r="H30" s="18">
        <f>SUM(Table6[[#This Row],[Total employed
]],Table6[[#This Row],[Total unemployed
]])</f>
        <v>4695</v>
      </c>
      <c r="I30" s="19">
        <f>SUM(Table6[[#This Row],[% employed]],G30)</f>
        <v>100.04909478168264</v>
      </c>
    </row>
    <row r="31" spans="1:9" ht="34.5">
      <c r="A31" s="17">
        <v>2022</v>
      </c>
      <c r="B31" s="1" t="s">
        <v>20</v>
      </c>
      <c r="C31" s="18" t="s">
        <v>1</v>
      </c>
      <c r="D31" s="18">
        <v>10275</v>
      </c>
      <c r="E31" s="18">
        <v>66.099999999999994</v>
      </c>
      <c r="F31" s="18">
        <f>1039+149+2327+1757</f>
        <v>5272</v>
      </c>
      <c r="G31" s="19">
        <f>(Table6[[#This Row],[Total unemployed
]]/Table6[[#This Row],[Total]])*100</f>
        <v>33.910079114941787</v>
      </c>
      <c r="H31" s="18">
        <f>SUM(Table6[[#This Row],[Total employed
]],Table6[[#This Row],[Total unemployed
]])</f>
        <v>15547</v>
      </c>
      <c r="I31" s="19">
        <f>SUM(Table6[[#This Row],[% employed]],G31)</f>
        <v>100.01007911494179</v>
      </c>
    </row>
    <row r="32" spans="1:9">
      <c r="A32" s="17">
        <v>2022</v>
      </c>
      <c r="B32" s="6" t="s">
        <v>5</v>
      </c>
      <c r="C32" s="18" t="s">
        <v>4</v>
      </c>
      <c r="D32" s="18">
        <v>13321</v>
      </c>
      <c r="E32" s="18">
        <v>70.8</v>
      </c>
      <c r="F32" s="18">
        <f>2832+180+360+2122</f>
        <v>5494</v>
      </c>
      <c r="G32" s="19">
        <f>(Table6[[#This Row],[Total unemployed
]]/Table6[[#This Row],[Total]])*100</f>
        <v>29.200106298166357</v>
      </c>
      <c r="H32" s="18">
        <f>SUM(Table6[[#This Row],[Total employed
]],Table6[[#This Row],[Total unemployed
]])</f>
        <v>18815</v>
      </c>
      <c r="I32" s="19">
        <f>SUM(Table6[[#This Row],[% employed]],G32)</f>
        <v>100.00010629816636</v>
      </c>
    </row>
    <row r="33" spans="1:9" ht="69">
      <c r="A33" s="17">
        <v>2022</v>
      </c>
      <c r="B33" s="1" t="s">
        <v>25</v>
      </c>
      <c r="C33" s="18" t="s">
        <v>4</v>
      </c>
      <c r="D33" s="18">
        <v>10779</v>
      </c>
      <c r="E33" s="18">
        <v>72.099999999999994</v>
      </c>
      <c r="F33" s="18">
        <f>1790+252+442+1690</f>
        <v>4174</v>
      </c>
      <c r="G33" s="19">
        <f>(Table6[[#This Row],[Total unemployed
]]/Table6[[#This Row],[Total]])*100</f>
        <v>27.914130943623356</v>
      </c>
      <c r="H33" s="18">
        <f>SUM(Table6[[#This Row],[Total employed
]],Table6[[#This Row],[Total unemployed
]])</f>
        <v>14953</v>
      </c>
      <c r="I33" s="19">
        <f>SUM(Table6[[#This Row],[% employed]],G33)</f>
        <v>100.01413094362334</v>
      </c>
    </row>
    <row r="34" spans="1:9" ht="23">
      <c r="A34" s="17">
        <v>2021</v>
      </c>
      <c r="B34" s="6" t="s">
        <v>14</v>
      </c>
      <c r="C34" s="18" t="s">
        <v>4</v>
      </c>
      <c r="D34" s="18">
        <v>11645</v>
      </c>
      <c r="E34" s="18">
        <v>65</v>
      </c>
      <c r="F34" s="18">
        <f>1342+225+1767+2926</f>
        <v>6260</v>
      </c>
      <c r="G34" s="19">
        <f>(Table6[[#This Row],[Total unemployed
]]/Table6[[#This Row],[Total]])*100</f>
        <v>34.962301033230943</v>
      </c>
      <c r="H34" s="18">
        <f>SUM(Table6[[#This Row],[Total employed
]],Table6[[#This Row],[Total unemployed
]])</f>
        <v>17905</v>
      </c>
      <c r="I34" s="19">
        <f>SUM(Table6[[#This Row],[% employed]],G34)</f>
        <v>99.962301033230943</v>
      </c>
    </row>
    <row r="35" spans="1:9" ht="34.5">
      <c r="A35" s="17">
        <v>2021</v>
      </c>
      <c r="B35" s="1" t="s">
        <v>21</v>
      </c>
      <c r="C35" s="18" t="s">
        <v>4</v>
      </c>
      <c r="D35" s="18">
        <v>14251</v>
      </c>
      <c r="E35" s="18">
        <v>59.9</v>
      </c>
      <c r="F35" s="18">
        <f>4405+481+619+4019</f>
        <v>9524</v>
      </c>
      <c r="G35" s="19">
        <f>(Table6[[#This Row],[Total unemployed
]]/Table6[[#This Row],[Total]])*100</f>
        <v>40.058885383806519</v>
      </c>
      <c r="H35" s="18">
        <f>SUM(Table6[[#This Row],[Total employed
]],Table6[[#This Row],[Total unemployed
]])</f>
        <v>23775</v>
      </c>
      <c r="I35" s="19">
        <f>SUM(Table6[[#This Row],[% employed]],G35)</f>
        <v>99.958885383806518</v>
      </c>
    </row>
    <row r="36" spans="1:9" ht="57.5">
      <c r="A36" s="17">
        <v>2021</v>
      </c>
      <c r="B36" s="6" t="s">
        <v>22</v>
      </c>
      <c r="C36" s="18" t="s">
        <v>1</v>
      </c>
      <c r="D36" s="18">
        <v>18145</v>
      </c>
      <c r="E36" s="18">
        <v>56.6</v>
      </c>
      <c r="F36" s="18">
        <f>8361+760+697+4113</f>
        <v>13931</v>
      </c>
      <c r="G36" s="19">
        <f>(Table6[[#This Row],[Total unemployed
]]/Table6[[#This Row],[Total]])*100</f>
        <v>43.431225838633246</v>
      </c>
      <c r="H36" s="18">
        <f>SUM(Table6[[#This Row],[Total employed
]],Table6[[#This Row],[Total unemployed
]])</f>
        <v>32076</v>
      </c>
      <c r="I36" s="19">
        <f>SUM(Table6[[#This Row],[% employed]],G36)</f>
        <v>100.03122583863325</v>
      </c>
    </row>
    <row r="37" spans="1:9" ht="80.5">
      <c r="A37" s="17">
        <v>2021</v>
      </c>
      <c r="B37" s="1" t="s">
        <v>0</v>
      </c>
      <c r="C37" s="18" t="s">
        <v>1</v>
      </c>
      <c r="D37" s="18">
        <v>51142</v>
      </c>
      <c r="E37" s="18">
        <v>65</v>
      </c>
      <c r="F37" s="18">
        <f>14679+1837+2020+8950</f>
        <v>27486</v>
      </c>
      <c r="G37" s="19">
        <f>(Table6[[#This Row],[Total unemployed
]]/Table6[[#This Row],[Total]])*100</f>
        <v>34.95701276898815</v>
      </c>
      <c r="H37" s="18">
        <f>SUM(Table6[[#This Row],[Total employed
]],Table6[[#This Row],[Total unemployed
]])</f>
        <v>78628</v>
      </c>
      <c r="I37" s="19">
        <f>SUM(Table6[[#This Row],[% employed]],G37)</f>
        <v>99.95701276898815</v>
      </c>
    </row>
    <row r="38" spans="1:9" ht="80.5">
      <c r="A38" s="17">
        <v>2021</v>
      </c>
      <c r="B38" s="6" t="s">
        <v>19</v>
      </c>
      <c r="C38" s="18" t="s">
        <v>1</v>
      </c>
      <c r="D38" s="18">
        <v>2672</v>
      </c>
      <c r="E38" s="18">
        <v>51.6</v>
      </c>
      <c r="F38" s="18">
        <f>1190+186+145+988</f>
        <v>2509</v>
      </c>
      <c r="G38" s="19">
        <f>(Table6[[#This Row],[Total unemployed
]]/Table6[[#This Row],[Total]])*100</f>
        <v>48.426944605288554</v>
      </c>
      <c r="H38" s="18">
        <f>SUM(Table6[[#This Row],[Total employed
]],Table6[[#This Row],[Total unemployed
]])</f>
        <v>5181</v>
      </c>
      <c r="I38" s="19">
        <f>SUM(Table6[[#This Row],[% employed]],G38)</f>
        <v>100.02694460528855</v>
      </c>
    </row>
    <row r="39" spans="1:9" ht="34.5">
      <c r="A39" s="17">
        <v>2021</v>
      </c>
      <c r="B39" s="1" t="s">
        <v>20</v>
      </c>
      <c r="C39" s="18" t="s">
        <v>1</v>
      </c>
      <c r="D39" s="18">
        <v>9271</v>
      </c>
      <c r="E39" s="18">
        <v>64.400000000000006</v>
      </c>
      <c r="F39" s="18">
        <f>912+160+1924+2127</f>
        <v>5123</v>
      </c>
      <c r="G39" s="19">
        <f>(Table6[[#This Row],[Total unemployed
]]/Table6[[#This Row],[Total]])*100</f>
        <v>35.591218563290262</v>
      </c>
      <c r="H39" s="18">
        <f>SUM(Table6[[#This Row],[Total employed
]],Table6[[#This Row],[Total unemployed
]])</f>
        <v>14394</v>
      </c>
      <c r="I39" s="19">
        <f>SUM(Table6[[#This Row],[% employed]],G39)</f>
        <v>99.991218563290261</v>
      </c>
    </row>
    <row r="40" spans="1:9">
      <c r="A40" s="17">
        <v>2021</v>
      </c>
      <c r="B40" s="6" t="s">
        <v>5</v>
      </c>
      <c r="C40" s="18" t="s">
        <v>4</v>
      </c>
      <c r="D40" s="18">
        <v>12802</v>
      </c>
      <c r="E40" s="18">
        <v>63.2</v>
      </c>
      <c r="F40" s="18">
        <f>3160+169+442+3679</f>
        <v>7450</v>
      </c>
      <c r="G40" s="19">
        <f>(Table6[[#This Row],[Total unemployed
]]/Table6[[#This Row],[Total]])*100</f>
        <v>36.786490223187833</v>
      </c>
      <c r="H40" s="18">
        <f>SUM(Table6[[#This Row],[Total employed
]],Table6[[#This Row],[Total unemployed
]])</f>
        <v>20252</v>
      </c>
      <c r="I40" s="19">
        <f>SUM(Table6[[#This Row],[% employed]],G40)</f>
        <v>99.986490223187843</v>
      </c>
    </row>
    <row r="41" spans="1:9" ht="69">
      <c r="A41" s="17">
        <v>2021</v>
      </c>
      <c r="B41" s="1" t="s">
        <v>25</v>
      </c>
      <c r="C41" s="18" t="s">
        <v>4</v>
      </c>
      <c r="D41" s="18">
        <v>56328</v>
      </c>
      <c r="E41" s="18">
        <v>59.9</v>
      </c>
      <c r="F41" s="18">
        <f>19721+1435+1939+14665</f>
        <v>37760</v>
      </c>
      <c r="G41" s="19">
        <f>(Table6[[#This Row],[Total unemployed
]]/Table6[[#This Row],[Total]])*100</f>
        <v>40.132641782161386</v>
      </c>
      <c r="H41" s="18">
        <f>SUM(Table6[[#This Row],[Total employed
]],Table6[[#This Row],[Total unemployed
]])</f>
        <v>94088</v>
      </c>
      <c r="I41" s="19">
        <f>SUM(Table6[[#This Row],[% employed]],G41)</f>
        <v>100.03264178216139</v>
      </c>
    </row>
    <row r="42" spans="1:9" ht="23">
      <c r="A42" s="17">
        <v>2020</v>
      </c>
      <c r="B42" s="6" t="s">
        <v>14</v>
      </c>
      <c r="C42" s="18" t="s">
        <v>4</v>
      </c>
      <c r="D42" s="18">
        <v>9257</v>
      </c>
      <c r="E42" s="18">
        <v>68.900000000000006</v>
      </c>
      <c r="F42" s="18">
        <f>932+98+874+2284</f>
        <v>4188</v>
      </c>
      <c r="G42" s="19">
        <f>(Table6[[#This Row],[Total unemployed
]]/Table6[[#This Row],[Total]])*100</f>
        <v>31.149126069170695</v>
      </c>
      <c r="H42" s="18">
        <f>SUM(Table6[[#This Row],[Total employed
]],Table6[[#This Row],[Total unemployed
]])</f>
        <v>13445</v>
      </c>
      <c r="I42" s="19">
        <f>SUM(Table6[[#This Row],[% employed]],G42)</f>
        <v>100.0491260691707</v>
      </c>
    </row>
    <row r="43" spans="1:9" ht="34.5">
      <c r="A43" s="17">
        <v>2020</v>
      </c>
      <c r="B43" s="1" t="s">
        <v>21</v>
      </c>
      <c r="C43" s="18" t="s">
        <v>4</v>
      </c>
      <c r="D43" s="18">
        <v>11990</v>
      </c>
      <c r="E43" s="18">
        <v>60.2</v>
      </c>
      <c r="F43" s="18">
        <f>3240+398+536+3745</f>
        <v>7919</v>
      </c>
      <c r="G43" s="19">
        <f>(Table6[[#This Row],[Total unemployed
]]/Table6[[#This Row],[Total]])*100</f>
        <v>39.775980712240695</v>
      </c>
      <c r="H43" s="18">
        <f>SUM(Table6[[#This Row],[Total employed
]],Table6[[#This Row],[Total unemployed
]])</f>
        <v>19909</v>
      </c>
      <c r="I43" s="19">
        <f>SUM(Table6[[#This Row],[% employed]],G43)</f>
        <v>99.975980712240698</v>
      </c>
    </row>
    <row r="44" spans="1:9" ht="57.5">
      <c r="A44" s="17">
        <v>2020</v>
      </c>
      <c r="B44" s="6" t="s">
        <v>22</v>
      </c>
      <c r="C44" s="18" t="s">
        <v>1</v>
      </c>
      <c r="D44" s="18">
        <v>15156</v>
      </c>
      <c r="E44" s="18">
        <v>54.6</v>
      </c>
      <c r="F44" s="18">
        <f>6832+697+1015+4077</f>
        <v>12621</v>
      </c>
      <c r="G44" s="19">
        <f>(Table6[[#This Row],[Total unemployed
]]/Table6[[#This Row],[Total]])*100</f>
        <v>45.436872232422509</v>
      </c>
      <c r="H44" s="18">
        <f>SUM(Table6[[#This Row],[Total employed
]],Table6[[#This Row],[Total unemployed
]])</f>
        <v>27777</v>
      </c>
      <c r="I44" s="19">
        <f>SUM(Table6[[#This Row],[% employed]],G44)</f>
        <v>100.03687223242251</v>
      </c>
    </row>
    <row r="45" spans="1:9" ht="80.5">
      <c r="A45" s="17">
        <v>2020</v>
      </c>
      <c r="B45" s="1" t="s">
        <v>0</v>
      </c>
      <c r="C45" s="18" t="s">
        <v>1</v>
      </c>
      <c r="D45" s="18">
        <v>50301</v>
      </c>
      <c r="E45" s="18">
        <v>61.4</v>
      </c>
      <c r="F45" s="18">
        <f>15288+1967+3312+11093</f>
        <v>31660</v>
      </c>
      <c r="G45" s="19">
        <f>(Table6[[#This Row],[Total unemployed
]]/Table6[[#This Row],[Total]])*100</f>
        <v>38.628128012103318</v>
      </c>
      <c r="H45" s="18">
        <f>SUM(Table6[[#This Row],[Total employed
]],Table6[[#This Row],[Total unemployed
]])</f>
        <v>81961</v>
      </c>
      <c r="I45" s="19">
        <f>SUM(Table6[[#This Row],[% employed]],G45)</f>
        <v>100.02812801210331</v>
      </c>
    </row>
    <row r="46" spans="1:9" ht="80.5">
      <c r="A46" s="17">
        <v>2020</v>
      </c>
      <c r="B46" s="6" t="s">
        <v>19</v>
      </c>
      <c r="C46" s="18" t="s">
        <v>1</v>
      </c>
      <c r="D46" s="18">
        <v>2471</v>
      </c>
      <c r="E46" s="18">
        <v>51.3</v>
      </c>
      <c r="F46" s="18">
        <f>901+312+226+908</f>
        <v>2347</v>
      </c>
      <c r="G46" s="19">
        <f>(Table6[[#This Row],[Total unemployed
]]/Table6[[#This Row],[Total]])*100</f>
        <v>48.713158987131585</v>
      </c>
      <c r="H46" s="18">
        <f>SUM(Table6[[#This Row],[Total employed
]],Table6[[#This Row],[Total unemployed
]])</f>
        <v>4818</v>
      </c>
      <c r="I46" s="19">
        <f>SUM(Table6[[#This Row],[% employed]],G46)</f>
        <v>100.01315898713159</v>
      </c>
    </row>
    <row r="47" spans="1:9" ht="34.5">
      <c r="A47" s="17">
        <v>2020</v>
      </c>
      <c r="B47" s="1" t="s">
        <v>20</v>
      </c>
      <c r="C47" s="18" t="s">
        <v>1</v>
      </c>
      <c r="D47" s="18">
        <v>7324</v>
      </c>
      <c r="E47" s="18">
        <v>55.1</v>
      </c>
      <c r="F47" s="18">
        <f>948+142+2805+2080</f>
        <v>5975</v>
      </c>
      <c r="G47" s="19">
        <f>(Table6[[#This Row],[Total unemployed
]]/Table6[[#This Row],[Total]])*100</f>
        <v>44.92819008948041</v>
      </c>
      <c r="H47" s="18">
        <f>SUM(Table6[[#This Row],[Total employed
]],Table6[[#This Row],[Total unemployed
]])</f>
        <v>13299</v>
      </c>
      <c r="I47" s="19">
        <f>SUM(Table6[[#This Row],[% employed]],G47)</f>
        <v>100.0281900894804</v>
      </c>
    </row>
    <row r="48" spans="1:9">
      <c r="A48" s="17">
        <v>2020</v>
      </c>
      <c r="B48" s="6" t="s">
        <v>5</v>
      </c>
      <c r="C48" s="18" t="s">
        <v>4</v>
      </c>
      <c r="D48" s="18">
        <v>12195</v>
      </c>
      <c r="E48" s="18">
        <v>63.4</v>
      </c>
      <c r="F48" s="18">
        <f>2859+266+562+3358</f>
        <v>7045</v>
      </c>
      <c r="G48" s="19">
        <f>(Table6[[#This Row],[Total unemployed
]]/Table6[[#This Row],[Total]])*100</f>
        <v>36.61642411642412</v>
      </c>
      <c r="H48" s="18">
        <f>SUM(Table6[[#This Row],[Total employed
]],Table6[[#This Row],[Total unemployed
]])</f>
        <v>19240</v>
      </c>
      <c r="I48" s="19">
        <f>SUM(Table6[[#This Row],[% employed]],G48)</f>
        <v>100.01642411642412</v>
      </c>
    </row>
    <row r="49" spans="1:9" ht="69">
      <c r="A49" s="17">
        <v>2020</v>
      </c>
      <c r="B49" s="1" t="s">
        <v>25</v>
      </c>
      <c r="C49" s="18" t="s">
        <v>4</v>
      </c>
      <c r="D49" s="18">
        <v>47831</v>
      </c>
      <c r="E49" s="18">
        <v>59.6</v>
      </c>
      <c r="F49" s="18">
        <f>15278+1402+2736+13005</f>
        <v>32421</v>
      </c>
      <c r="G49" s="19">
        <f>(Table6[[#This Row],[Total unemployed
]]/Table6[[#This Row],[Total]])*100</f>
        <v>40.398993171509744</v>
      </c>
      <c r="H49" s="18">
        <f>SUM(Table6[[#This Row],[Total employed
]],Table6[[#This Row],[Total unemployed
]])</f>
        <v>80252</v>
      </c>
      <c r="I49" s="19">
        <f>SUM(Table6[[#This Row],[% employed]],G49)</f>
        <v>99.998993171509738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almira syahnizam</dc:creator>
  <cp:lastModifiedBy>almira syahnizam</cp:lastModifiedBy>
  <dcterms:created xsi:type="dcterms:W3CDTF">2025-09-13T22:46:39Z</dcterms:created>
  <dcterms:modified xsi:type="dcterms:W3CDTF">2025-09-13T22:50:07Z</dcterms:modified>
</cp:coreProperties>
</file>