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kuleuven-my.sharepoint.com/personal/lone_meertens_kuleuven_be/Documents/Wetenschappelijk Onderzoek/SEEDS/Borefield/short term effects validation/"/>
    </mc:Choice>
  </mc:AlternateContent>
  <xr:revisionPtr revIDLastSave="1344" documentId="8_{5622DAE0-6CBE-4EC2-B67E-2B13B8CE269F}" xr6:coauthVersionLast="47" xr6:coauthVersionMax="47" xr10:uidLastSave="{B96EA0C5-D291-4509-A3D4-A0F20BAAC86F}"/>
  <bookViews>
    <workbookView xWindow="-108" yWindow="-108" windowWidth="23256" windowHeight="12456" activeTab="3" xr2:uid="{44D87B58-08C8-44A9-8B5F-58FA609974DE}"/>
  </bookViews>
  <sheets>
    <sheet name="Summary" sheetId="3" r:id="rId1"/>
    <sheet name="Parameters" sheetId="2" r:id="rId2"/>
    <sheet name="L4vsL4ste" sheetId="5" r:id="rId3"/>
    <sheet name="Modelica" sheetId="4" r:id="rId4"/>
    <sheet name="GHEvsMod" sheetId="6" r:id="rId5"/>
    <sheet name="Results" sheetId="1"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 i="6" l="1"/>
  <c r="H21" i="6"/>
  <c r="I16" i="6"/>
  <c r="H16" i="6"/>
  <c r="O14" i="4"/>
  <c r="O19" i="4"/>
  <c r="I11" i="6"/>
  <c r="H11" i="6"/>
  <c r="O9" i="4"/>
  <c r="O18" i="4"/>
  <c r="I20" i="6"/>
  <c r="H20" i="6"/>
  <c r="I15" i="6"/>
  <c r="H15" i="6"/>
  <c r="O13" i="4"/>
  <c r="I10" i="6"/>
  <c r="H10" i="6"/>
  <c r="O8" i="4"/>
  <c r="I19" i="6"/>
  <c r="H19" i="6"/>
  <c r="O17" i="4"/>
  <c r="I14" i="6"/>
  <c r="H14" i="6"/>
  <c r="I9" i="6"/>
  <c r="H9" i="6"/>
  <c r="O6" i="4"/>
  <c r="O12" i="4"/>
  <c r="O7" i="4"/>
  <c r="I18" i="6"/>
  <c r="H18" i="6"/>
  <c r="I13" i="6"/>
  <c r="H13" i="6"/>
  <c r="I8" i="6"/>
  <c r="H8" i="6"/>
  <c r="O16" i="4"/>
  <c r="O11" i="4"/>
  <c r="O4" i="4"/>
  <c r="I17" i="6"/>
  <c r="H17" i="6"/>
  <c r="I12" i="6"/>
  <c r="H12" i="6"/>
  <c r="I7" i="6"/>
  <c r="H7" i="6"/>
  <c r="O15" i="4"/>
  <c r="O10" i="4"/>
  <c r="O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tc={849C6A60-C145-48F5-A612-D616B829090F}</author>
    <author>tc={48975FC8-3E6C-469D-8055-608309B59916}</author>
  </authors>
  <commentList>
    <comment ref="B20" authorId="0" shapeId="0" xr:uid="{849C6A60-C145-48F5-A612-D616B829090F}">
      <text>
        <t>[Threaded comment]
Your version of Excel allows you to read this threaded comment; however, any edits to it will get removed if the file is opened in a newer version of Excel. Learn more: https://go.microsoft.com/fwlink/?linkid=870924
Comment:
    Adapt for Journal paper, wrong in conference paper</t>
      </text>
    </comment>
    <comment ref="B23" authorId="1" shapeId="0" xr:uid="{48975FC8-3E6C-469D-8055-608309B59916}">
      <text>
        <t>[Threaded comment]
Your version of Excel allows you to read this threaded comment; however, any edits to it will get removed if the file is opened in a newer version of Excel. Learn more: https://go.microsoft.com/fwlink/?linkid=870924
Comment:
    Add this in journal paper, only used in GHEtool L4 ste (not in modelica)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Lone Meertens</author>
  </authors>
  <commentList>
    <comment ref="B11" authorId="0" shapeId="0" xr:uid="{C0E23A55-E658-48B3-BDF8-C8648BF9B48A}">
      <text>
        <r>
          <rPr>
            <sz val="11"/>
            <color theme="1"/>
            <rFont val="Calibri"/>
            <family val="2"/>
            <scheme val="minor"/>
          </rPr>
          <t>Lone Meertens:
NOT possible due to high cooling load (limited by Tmax) --&gt; GHEtool.VariableClasses.BaseClass.UnsolvableDueToTemperatureGradient: No solution can be found due to the temperature gradient. Please increase the field size
Gradient 2.2 still possible, but 3 is too much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tc={AB529D0D-DA8A-46C8-B5A3-C1A42F330BCE}</author>
    <author>Lone Meertens</author>
  </authors>
  <commentList>
    <comment ref="AA2" authorId="0" shapeId="0" xr:uid="{AB529D0D-DA8A-46C8-B5A3-C1A42F330BCE}">
      <text>
        <t xml:space="preserve">[Threaded comment]
Your version of Excel allows you to read this threaded comment; however, any edits to it will get removed if the file is opened in a newer version of Excel. Learn more: https://go.microsoft.com/fwlink/?linkid=870924
Comment:
    Wrong results, using AntiFreeze instead of water as HTF in boreholes. How can this big difference be explained??
</t>
      </text>
    </comment>
    <comment ref="B12" authorId="1" shapeId="0" xr:uid="{9AA56C20-8DF7-47C1-818C-5A95ADF67DF9}">
      <text>
        <r>
          <rPr>
            <sz val="11"/>
            <color theme="1"/>
            <rFont val="Calibri"/>
            <family val="2"/>
            <scheme val="minor"/>
          </rPr>
          <t>Lone Meertens:
Case dependent
- case 1: flux = 0
- case 2/4: flux = 0.02
- case 3/5: flux = 0.06</t>
        </r>
      </text>
    </comment>
  </commentList>
</comments>
</file>

<file path=xl/sharedStrings.xml><?xml version="1.0" encoding="utf-8"?>
<sst xmlns="http://schemas.openxmlformats.org/spreadsheetml/2006/main" count="226" uniqueCount="103">
  <si>
    <t>GHEtool is an open-source Python package designed for borefield sizing and temperature evolution evaluation . Currently, this tool employs the steady-state equivalent resistance method to calculate the heat transfer from the fluid to the borehole wall, which neglects the thermal capacity of the fluid, pipe, and grout. Consequently, heat is transferred immediately, without delay, from the fluid to the borehole wall, leading to an overestimation of the heat transfer peak to the surrounding ground. This often results in an oversized borefield, particularly for geothermal load profiles with high peak load variability.
Meertens et al. [2] examined the impact of two short-term dynamic effects on borehole sizing and their significance for different geothermal load profiles. The first effect involved applying the cylindrical borehole correction of Li et al. [3], which extends the finite line model (currently used in GHEtool for calculating g-functions) to an infinite hollow cylinder within an infinite volume. This introduces a more realistic heat exchange surface between the borehole wall and the ground. The second effect investigated the replacement of the equivalent thermal resistance method with a dynamic model to describe the heat transfer within boreholes over small time scales. For this purpose, they used the 1D explicit numerical model of Xu and Spitler [4].
Their findings indicated that incorporating only the cylindrical borehole correction without considering any dynamic behavior results in a worse approximation than the base model implemented in GHEtool. Conversely, utilizing the dynamic model for small time scales provides the best approximation for heat transfer from the fluid to the ground. The relevance of this effect is highly dependent on the geothermal load profile; it significantly influences borefield size when the load profile exhibits high peak load variability. However, when the sizing is dominated by a large imbalance in the load profile, the effect is minimal.
This paper introduces a comprehensive model that integrates the two aforementioned effects and compares it to the base model in GHEtool, as well as to sizing performed using the dynamic IBPSA borehole simulation model in Modelica.</t>
  </si>
  <si>
    <t>References:</t>
  </si>
  <si>
    <t xml:space="preserve">[1] Peere, W., Blanke, T.(2022). GHEtool: An open-source tool for borefield sizing in Python. Journal of Open Source Software, 7(76), 4406, https://doi.org/10.21105/joss.04406 </t>
  </si>
  <si>
    <t xml:space="preserve">[2] Meertens, L., Peere, W., and Helsen, L. (2024). Influence of short-term dynamic effects on geothermal borefield size. 
In _Proceedings of International Ground Source Heat Pump Association Conference 2024_. Montreal (Canada), 28-30 May 2024. 
https://doi.org/10.22488/okstate.24.000004 </t>
  </si>
  <si>
    <t>[3] Li et al</t>
  </si>
  <si>
    <t>[4] Xu &amp; Spitler</t>
  </si>
  <si>
    <t>[x] Peere, W., L. Hermans, W. Boydens, and L. Helsen. 2023. Evaluation of the oversizing and computational speed of different
open-source borefield sizing methods. BS2023 Conference, Shanghai, China, April</t>
  </si>
  <si>
    <t>Summary of borefield parameters used for sizing</t>
  </si>
  <si>
    <t>Yearly demand [MWh] and peak demand [kW] for the three different buildings</t>
  </si>
  <si>
    <t>Description</t>
  </si>
  <si>
    <t>Value</t>
  </si>
  <si>
    <t>Unit</t>
  </si>
  <si>
    <t>Auditorium</t>
  </si>
  <si>
    <t>Office</t>
  </si>
  <si>
    <t>Swimming pool</t>
  </si>
  <si>
    <t>Borehole radius</t>
  </si>
  <si>
    <t>mm</t>
  </si>
  <si>
    <t>Yearly</t>
  </si>
  <si>
    <t>Heating</t>
  </si>
  <si>
    <t>Borehole burial depth</t>
  </si>
  <si>
    <t>m</t>
  </si>
  <si>
    <t>Cooling</t>
  </si>
  <si>
    <t>Borehole spacing</t>
  </si>
  <si>
    <t>Peak</t>
  </si>
  <si>
    <t>Inner pipe radius</t>
  </si>
  <si>
    <t>Pipe spacing</t>
  </si>
  <si>
    <t>Outer pipe radius</t>
  </si>
  <si>
    <t>Ground conductivity</t>
  </si>
  <si>
    <t>W/mK</t>
  </si>
  <si>
    <t>Ground vol. heat capacity</t>
  </si>
  <si>
    <t>MJ/m^3K</t>
  </si>
  <si>
    <t>Undisturbed Ground temp.</t>
  </si>
  <si>
    <t>°C</t>
  </si>
  <si>
    <t>Ground heat flux</t>
  </si>
  <si>
    <t>case dep.</t>
  </si>
  <si>
    <t>W/m^2</t>
  </si>
  <si>
    <t>Case 1</t>
  </si>
  <si>
    <t>Case 2/4</t>
  </si>
  <si>
    <t>Case 3/5</t>
  </si>
  <si>
    <t>Soil specific heat capacity</t>
  </si>
  <si>
    <t>J/kgK</t>
  </si>
  <si>
    <t>Soil density</t>
  </si>
  <si>
    <t>kg/m^3</t>
  </si>
  <si>
    <t>Grout conductivity</t>
  </si>
  <si>
    <t>Grout vol. heat capacity</t>
  </si>
  <si>
    <t>Grout specific heat capacity</t>
  </si>
  <si>
    <t>Grout density</t>
  </si>
  <si>
    <t>Pipe conductivity</t>
  </si>
  <si>
    <t>W/kK</t>
  </si>
  <si>
    <t>Pipe vol. heat capacity</t>
  </si>
  <si>
    <t>Heat exchanger type</t>
  </si>
  <si>
    <t>Double U-tube</t>
  </si>
  <si>
    <t>Auditorium parameters</t>
  </si>
  <si>
    <t>Borefield configuration</t>
  </si>
  <si>
    <t>5x4</t>
  </si>
  <si>
    <t>Borefield HTF mass flow rate</t>
  </si>
  <si>
    <t>kg/s</t>
  </si>
  <si>
    <t>Office parameters</t>
  </si>
  <si>
    <t>10x10</t>
  </si>
  <si>
    <t>Swimming pool parameters</t>
  </si>
  <si>
    <t>15x20</t>
  </si>
  <si>
    <t>Input variables</t>
  </si>
  <si>
    <t>Results</t>
  </si>
  <si>
    <t>Building load profile</t>
  </si>
  <si>
    <t>Grounddata case</t>
  </si>
  <si>
    <t>method</t>
  </si>
  <si>
    <t>L [m]</t>
  </si>
  <si>
    <t>Rb*</t>
  </si>
  <si>
    <t>Tg [°C]</t>
  </si>
  <si>
    <t>Time [s]</t>
  </si>
  <si>
    <t>L4</t>
  </si>
  <si>
    <t>L4 ste</t>
  </si>
  <si>
    <t xml:space="preserve">L4 </t>
  </si>
  <si>
    <t>ground temp. case</t>
  </si>
  <si>
    <t>L_start [m]</t>
  </si>
  <si>
    <t>T_L [°C]</t>
  </si>
  <si>
    <t>T_H [°C]</t>
  </si>
  <si>
    <t>T_g [°C]</t>
  </si>
  <si>
    <t>lifetime [years]</t>
  </si>
  <si>
    <t>use_Rb</t>
  </si>
  <si>
    <t>solver</t>
  </si>
  <si>
    <t>Integration step</t>
  </si>
  <si>
    <t>Tmin [°C]</t>
  </si>
  <si>
    <t>Tmax [°C]</t>
  </si>
  <si>
    <t>number of iterations</t>
  </si>
  <si>
    <t>time needed for sizing [min]</t>
  </si>
  <si>
    <t>False</t>
  </si>
  <si>
    <t>Euler</t>
  </si>
  <si>
    <t>10+grad</t>
  </si>
  <si>
    <t>updated</t>
  </si>
  <si>
    <t>Using constant ground temperature equal to 10°C</t>
  </si>
  <si>
    <t>Using gradient (0.01 K/m for case 2 and 0.02K/m for case3) with surface temp of 10°C</t>
  </si>
  <si>
    <t>Using constant ground temperature model and update Tg each iteration with _Tg (average Tg) from GHEtool (same gradients as above)</t>
  </si>
  <si>
    <t>Ground Temperature Case</t>
  </si>
  <si>
    <t>Resulting size L [m]</t>
  </si>
  <si>
    <t>Relative difference (L4-Lmodelica)/Lmodelica</t>
  </si>
  <si>
    <t>Lmod</t>
  </si>
  <si>
    <t>L4 GHEtool standard</t>
  </si>
  <si>
    <t>tijd [s]</t>
  </si>
  <si>
    <t>Rb* [m.K/W]</t>
  </si>
  <si>
    <t>L4 Dynamic model switching to FLS+CC</t>
  </si>
  <si>
    <t>tswitch [h]</t>
  </si>
  <si>
    <t>Modelica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</si>
</sst>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font>
      <sz val="11"/>
      <color theme="1"/>
      <name val="Calibri"/>
      <family val="2"/>
      <scheme val="minor"/>
    </font>
    <font>
      <b/>
      <sz val="11"/>
      <color theme="1"/>
      <name val="Calibri"/>
      <family val="2"/>
      <scheme val="minor"/>
    </font>
    <font>
      <sz val="11"/>
      <color rgb="FF000000"/>
      <name val="Calibri"/>
      <family val="2"/>
      <scheme val="minor"/>
    </font>
    <font>
      <sz val="11"/>
      <color rgb="FF444444"/>
      <name val="Aptos Narrow"/>
      <charset val="1"/>
    </font>
    <font>
      <u/>
      <sz val="11"/>
      <color theme="1"/>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7" tint="0.79998168889431442"/>
        <bgColor indexed="64"/>
      </patternFill>
    </fill>
  </fills>
  <borders count="8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medium">
        <color rgb="FF000000"/>
      </left>
      <right/>
      <top style="thin">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medium">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bottom/>
      <diagonal/>
    </border>
    <border>
      <left style="thin">
        <color rgb="FF000000"/>
      </left>
      <right/>
      <top/>
      <bottom/>
      <diagonal/>
    </border>
    <border>
      <left style="medium">
        <color rgb="FF000000"/>
      </left>
      <right/>
      <top/>
      <bottom/>
      <diagonal/>
    </border>
    <border>
      <left style="thin">
        <color rgb="FF000000"/>
      </left>
      <right style="medium">
        <color rgb="FF000000"/>
      </right>
      <top/>
      <bottom/>
      <diagonal/>
    </border>
    <border>
      <left style="medium">
        <color rgb="FF000000"/>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diagonal/>
    </border>
    <border>
      <left/>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s>
  <cellStyleXfs count="1">
    <xf numFmtId="0" fontId="0" fillId="0" borderId="0"/>
  </cellStyleXfs>
  <cellXfs count="218">
    <xf numFmtId="0" fontId="0" fillId="0" borderId="0" xfId="0"/>
    <xf numFmtId="0" fontId="0" fillId="2" borderId="10" xfId="0" applyFill="1" applyBorder="1"/>
    <xf numFmtId="0" fontId="0" fillId="2" borderId="11" xfId="0" applyFill="1" applyBorder="1"/>
    <xf numFmtId="0" fontId="0" fillId="2" borderId="12" xfId="0" applyFill="1" applyBorder="1"/>
    <xf numFmtId="0" fontId="0" fillId="3" borderId="13" xfId="0" applyFill="1" applyBorder="1" applyAlignment="1">
      <alignment horizontal="center" vertical="center"/>
    </xf>
    <xf numFmtId="0" fontId="0" fillId="3" borderId="2" xfId="0" applyFill="1" applyBorder="1"/>
    <xf numFmtId="0" fontId="0" fillId="3" borderId="5" xfId="0" applyFill="1" applyBorder="1"/>
    <xf numFmtId="0" fontId="0" fillId="3" borderId="7" xfId="0" applyFill="1" applyBorder="1"/>
    <xf numFmtId="0" fontId="0" fillId="4" borderId="14" xfId="0" applyFill="1" applyBorder="1" applyAlignment="1">
      <alignment horizontal="center" vertical="center"/>
    </xf>
    <xf numFmtId="0" fontId="0" fillId="4" borderId="15" xfId="0" applyFill="1" applyBorder="1" applyAlignment="1">
      <alignment horizontal="center" vertical="center"/>
    </xf>
    <xf numFmtId="0" fontId="0" fillId="4" borderId="3" xfId="0" applyFill="1" applyBorder="1"/>
    <xf numFmtId="0" fontId="0" fillId="4" borderId="4" xfId="0" applyFill="1" applyBorder="1"/>
    <xf numFmtId="0" fontId="0" fillId="4" borderId="1" xfId="0" applyFill="1" applyBorder="1"/>
    <xf numFmtId="0" fontId="0" fillId="4" borderId="6" xfId="0" applyFill="1" applyBorder="1"/>
    <xf numFmtId="0" fontId="0" fillId="4" borderId="8" xfId="0" applyFill="1" applyBorder="1"/>
    <xf numFmtId="0" fontId="0" fillId="4" borderId="9" xfId="0" applyFill="1" applyBorder="1"/>
    <xf numFmtId="0" fontId="0" fillId="0" borderId="25" xfId="0" applyBorder="1"/>
    <xf numFmtId="0" fontId="0" fillId="0" borderId="26" xfId="0" applyBorder="1"/>
    <xf numFmtId="0" fontId="0" fillId="0" borderId="27" xfId="0" applyBorder="1"/>
    <xf numFmtId="0" fontId="0" fillId="0" borderId="34" xfId="0" applyBorder="1"/>
    <xf numFmtId="0" fontId="0" fillId="0" borderId="30" xfId="0" applyBorder="1"/>
    <xf numFmtId="0" fontId="0" fillId="0" borderId="36" xfId="0" applyBorder="1"/>
    <xf numFmtId="0" fontId="0" fillId="0" borderId="38" xfId="0" applyBorder="1"/>
    <xf numFmtId="0" fontId="0" fillId="0" borderId="39" xfId="0" applyBorder="1"/>
    <xf numFmtId="0" fontId="0" fillId="0" borderId="44" xfId="0" applyBorder="1" applyAlignment="1">
      <alignment wrapText="1"/>
    </xf>
    <xf numFmtId="0" fontId="0" fillId="0" borderId="45" xfId="0" applyBorder="1" applyAlignment="1">
      <alignment wrapText="1"/>
    </xf>
    <xf numFmtId="0" fontId="0" fillId="0" borderId="46" xfId="0" applyBorder="1" applyAlignment="1">
      <alignment wrapText="1"/>
    </xf>
    <xf numFmtId="0" fontId="0" fillId="0" borderId="49" xfId="0" applyBorder="1"/>
    <xf numFmtId="0" fontId="0" fillId="0" borderId="50" xfId="0" applyBorder="1"/>
    <xf numFmtId="0" fontId="0" fillId="0" borderId="51" xfId="0" applyBorder="1"/>
    <xf numFmtId="0" fontId="1" fillId="0" borderId="0" xfId="0" applyFont="1"/>
    <xf numFmtId="0" fontId="1" fillId="0" borderId="43" xfId="0" applyFont="1" applyBorder="1" applyAlignment="1">
      <alignment wrapText="1"/>
    </xf>
    <xf numFmtId="1" fontId="0" fillId="0" borderId="0" xfId="0" applyNumberFormat="1"/>
    <xf numFmtId="1" fontId="0" fillId="0" borderId="44" xfId="0" applyNumberFormat="1" applyBorder="1" applyAlignment="1">
      <alignment wrapText="1"/>
    </xf>
    <xf numFmtId="0" fontId="0" fillId="0" borderId="54" xfId="0" applyBorder="1"/>
    <xf numFmtId="0" fontId="0" fillId="0" borderId="59" xfId="0" applyBorder="1"/>
    <xf numFmtId="0" fontId="0" fillId="0" borderId="60" xfId="0" applyBorder="1"/>
    <xf numFmtId="0" fontId="0" fillId="0" borderId="57" xfId="0" applyBorder="1"/>
    <xf numFmtId="0" fontId="0" fillId="0" borderId="35" xfId="0" applyBorder="1"/>
    <xf numFmtId="0" fontId="0" fillId="0" borderId="56" xfId="0" applyBorder="1" applyAlignment="1">
      <alignment wrapText="1"/>
    </xf>
    <xf numFmtId="0" fontId="0" fillId="0" borderId="64" xfId="0" applyBorder="1"/>
    <xf numFmtId="0" fontId="0" fillId="0" borderId="65" xfId="0" applyBorder="1"/>
    <xf numFmtId="0" fontId="0" fillId="0" borderId="66" xfId="0" applyBorder="1"/>
    <xf numFmtId="0" fontId="0" fillId="0" borderId="67" xfId="0" applyBorder="1"/>
    <xf numFmtId="0" fontId="0" fillId="6" borderId="64" xfId="0" applyFill="1" applyBorder="1"/>
    <xf numFmtId="0" fontId="0" fillId="6" borderId="38" xfId="0" applyFill="1" applyBorder="1"/>
    <xf numFmtId="0" fontId="0" fillId="6" borderId="36" xfId="0" applyFill="1" applyBorder="1"/>
    <xf numFmtId="0" fontId="0" fillId="6" borderId="39" xfId="0" applyFill="1" applyBorder="1"/>
    <xf numFmtId="0" fontId="0" fillId="6" borderId="66" xfId="0" applyFill="1" applyBorder="1"/>
    <xf numFmtId="0" fontId="0" fillId="6" borderId="25" xfId="0" applyFill="1" applyBorder="1"/>
    <xf numFmtId="0" fontId="0" fillId="6" borderId="26" xfId="0" applyFill="1" applyBorder="1"/>
    <xf numFmtId="0" fontId="0" fillId="6" borderId="27" xfId="0" applyFill="1" applyBorder="1"/>
    <xf numFmtId="0" fontId="0" fillId="6" borderId="65" xfId="0" applyFill="1" applyBorder="1"/>
    <xf numFmtId="0" fontId="0" fillId="0" borderId="52" xfId="0" applyBorder="1"/>
    <xf numFmtId="0" fontId="0" fillId="0" borderId="53" xfId="0" applyBorder="1"/>
    <xf numFmtId="0" fontId="0" fillId="0" borderId="68" xfId="0" applyBorder="1"/>
    <xf numFmtId="0" fontId="0" fillId="0" borderId="19" xfId="0" applyBorder="1"/>
    <xf numFmtId="0" fontId="0" fillId="0" borderId="19" xfId="0" applyBorder="1" applyAlignment="1">
      <alignment wrapText="1"/>
    </xf>
    <xf numFmtId="0" fontId="0" fillId="0" borderId="69" xfId="0" applyBorder="1" applyAlignment="1">
      <alignment wrapText="1"/>
    </xf>
    <xf numFmtId="0" fontId="0" fillId="0" borderId="73" xfId="0" applyBorder="1" applyAlignment="1">
      <alignment wrapText="1"/>
    </xf>
    <xf numFmtId="0" fontId="0" fillId="0" borderId="22" xfId="0" applyBorder="1"/>
    <xf numFmtId="0" fontId="0" fillId="0" borderId="74" xfId="0" applyBorder="1" applyAlignment="1">
      <alignment wrapText="1"/>
    </xf>
    <xf numFmtId="0" fontId="0" fillId="0" borderId="21" xfId="0" applyBorder="1" applyAlignment="1">
      <alignment wrapText="1"/>
    </xf>
    <xf numFmtId="0" fontId="0" fillId="0" borderId="60" xfId="0" applyBorder="1" applyAlignment="1">
      <alignment horizontal="center"/>
    </xf>
    <xf numFmtId="0" fontId="0" fillId="0" borderId="50" xfId="0" applyBorder="1" applyAlignment="1">
      <alignment horizontal="center"/>
    </xf>
    <xf numFmtId="0" fontId="0" fillId="0" borderId="49" xfId="0" applyBorder="1" applyAlignment="1">
      <alignment horizontal="center"/>
    </xf>
    <xf numFmtId="0" fontId="0" fillId="0" borderId="51" xfId="0" applyBorder="1" applyAlignment="1">
      <alignment horizontal="center"/>
    </xf>
    <xf numFmtId="0" fontId="0" fillId="7" borderId="0" xfId="0" applyFill="1"/>
    <xf numFmtId="164" fontId="1" fillId="7" borderId="31" xfId="0" applyNumberFormat="1" applyFont="1" applyFill="1" applyBorder="1"/>
    <xf numFmtId="0" fontId="0" fillId="7" borderId="70" xfId="0" applyFill="1" applyBorder="1"/>
    <xf numFmtId="0" fontId="0" fillId="0" borderId="52" xfId="0" applyBorder="1" applyAlignment="1">
      <alignment horizontal="center" vertical="center"/>
    </xf>
    <xf numFmtId="164" fontId="1" fillId="0" borderId="0" xfId="0" applyNumberFormat="1" applyFont="1"/>
    <xf numFmtId="164" fontId="0" fillId="0" borderId="0" xfId="0" applyNumberFormat="1"/>
    <xf numFmtId="0" fontId="0" fillId="7" borderId="19" xfId="0" applyFill="1" applyBorder="1"/>
    <xf numFmtId="0" fontId="2" fillId="0" borderId="24" xfId="0" applyFont="1" applyBorder="1"/>
    <xf numFmtId="0" fontId="0" fillId="0" borderId="24" xfId="0" applyBorder="1"/>
    <xf numFmtId="0" fontId="0" fillId="0" borderId="23" xfId="0" applyBorder="1"/>
    <xf numFmtId="0" fontId="0" fillId="8" borderId="19" xfId="0" applyFill="1" applyBorder="1"/>
    <xf numFmtId="0" fontId="0" fillId="2" borderId="36" xfId="0" applyFill="1" applyBorder="1"/>
    <xf numFmtId="0" fontId="0" fillId="2" borderId="0" xfId="0" applyFill="1"/>
    <xf numFmtId="0" fontId="0" fillId="8" borderId="0" xfId="0" applyFill="1"/>
    <xf numFmtId="0" fontId="0" fillId="2" borderId="39" xfId="0" applyFill="1" applyBorder="1"/>
    <xf numFmtId="0" fontId="0" fillId="7" borderId="24" xfId="0" applyFill="1" applyBorder="1"/>
    <xf numFmtId="0" fontId="0" fillId="8" borderId="24" xfId="0" applyFill="1" applyBorder="1"/>
    <xf numFmtId="0" fontId="0" fillId="8" borderId="51" xfId="0" applyFill="1" applyBorder="1"/>
    <xf numFmtId="0" fontId="0" fillId="8" borderId="27" xfId="0" applyFill="1" applyBorder="1"/>
    <xf numFmtId="0" fontId="0" fillId="0" borderId="42" xfId="0" applyBorder="1" applyAlignment="1">
      <alignment horizontal="center" vertical="center"/>
    </xf>
    <xf numFmtId="0" fontId="0" fillId="0" borderId="76" xfId="0" applyBorder="1" applyAlignment="1">
      <alignment horizontal="center" vertical="center"/>
    </xf>
    <xf numFmtId="0" fontId="2" fillId="0" borderId="34" xfId="0" applyFont="1" applyBorder="1"/>
    <xf numFmtId="0" fontId="1" fillId="0" borderId="0" xfId="0" applyFont="1" applyAlignment="1">
      <alignment wrapText="1"/>
    </xf>
    <xf numFmtId="0" fontId="0" fillId="0" borderId="0" xfId="0" applyAlignment="1">
      <alignment wrapText="1"/>
    </xf>
    <xf numFmtId="1" fontId="0" fillId="0" borderId="0" xfId="0" applyNumberFormat="1" applyAlignment="1">
      <alignment wrapText="1"/>
    </xf>
    <xf numFmtId="0" fontId="0" fillId="2" borderId="46" xfId="0" applyFill="1" applyBorder="1" applyAlignment="1">
      <alignment horizontal="center" vertical="center" wrapText="1"/>
    </xf>
    <xf numFmtId="0" fontId="2" fillId="2" borderId="59" xfId="0" applyFont="1" applyFill="1" applyBorder="1"/>
    <xf numFmtId="0" fontId="0" fillId="2" borderId="37" xfId="0" applyFill="1" applyBorder="1"/>
    <xf numFmtId="164" fontId="1" fillId="2" borderId="38" xfId="0" applyNumberFormat="1" applyFont="1" applyFill="1" applyBorder="1"/>
    <xf numFmtId="164" fontId="0" fillId="2" borderId="36" xfId="0" applyNumberFormat="1" applyFill="1" applyBorder="1"/>
    <xf numFmtId="1" fontId="0" fillId="2" borderId="36" xfId="0" applyNumberFormat="1" applyFill="1" applyBorder="1"/>
    <xf numFmtId="164" fontId="0" fillId="2" borderId="39" xfId="0" applyNumberFormat="1" applyFill="1" applyBorder="1"/>
    <xf numFmtId="0" fontId="0" fillId="7" borderId="33" xfId="0" applyFill="1" applyBorder="1"/>
    <xf numFmtId="0" fontId="0" fillId="7" borderId="28" xfId="0" applyFill="1" applyBorder="1"/>
    <xf numFmtId="0" fontId="0" fillId="7" borderId="32" xfId="0" applyFill="1" applyBorder="1"/>
    <xf numFmtId="164" fontId="0" fillId="7" borderId="28" xfId="0" applyNumberFormat="1" applyFill="1" applyBorder="1"/>
    <xf numFmtId="1" fontId="0" fillId="7" borderId="28" xfId="0" applyNumberFormat="1" applyFill="1" applyBorder="1"/>
    <xf numFmtId="164" fontId="0" fillId="7" borderId="29" xfId="0" applyNumberFormat="1" applyFill="1" applyBorder="1"/>
    <xf numFmtId="0" fontId="0" fillId="7" borderId="34" xfId="0" applyFill="1" applyBorder="1"/>
    <xf numFmtId="0" fontId="0" fillId="2" borderId="60" xfId="0" applyFill="1" applyBorder="1"/>
    <xf numFmtId="0" fontId="0" fillId="2" borderId="54" xfId="0" applyFill="1" applyBorder="1"/>
    <xf numFmtId="0" fontId="0" fillId="2" borderId="55" xfId="0" applyFill="1" applyBorder="1"/>
    <xf numFmtId="164" fontId="1" fillId="2" borderId="49" xfId="0" applyNumberFormat="1" applyFont="1" applyFill="1" applyBorder="1"/>
    <xf numFmtId="164" fontId="0" fillId="2" borderId="50" xfId="0" applyNumberFormat="1" applyFill="1" applyBorder="1"/>
    <xf numFmtId="1" fontId="0" fillId="2" borderId="50" xfId="0" applyNumberFormat="1" applyFill="1" applyBorder="1"/>
    <xf numFmtId="164" fontId="0" fillId="2" borderId="51" xfId="0" applyNumberFormat="1" applyFill="1" applyBorder="1"/>
    <xf numFmtId="0" fontId="0" fillId="2" borderId="47" xfId="0" applyFill="1" applyBorder="1" applyAlignment="1">
      <alignment horizontal="center" vertical="center" wrapText="1"/>
    </xf>
    <xf numFmtId="164" fontId="0" fillId="7" borderId="19" xfId="0" applyNumberFormat="1" applyFill="1" applyBorder="1"/>
    <xf numFmtId="1" fontId="0" fillId="7" borderId="19" xfId="0" applyNumberFormat="1" applyFill="1" applyBorder="1"/>
    <xf numFmtId="0" fontId="2" fillId="2" borderId="60" xfId="0" applyFont="1" applyFill="1" applyBorder="1"/>
    <xf numFmtId="0" fontId="0" fillId="7" borderId="75" xfId="0" applyFill="1" applyBorder="1" applyAlignment="1">
      <alignment horizontal="center" vertical="center" wrapText="1"/>
    </xf>
    <xf numFmtId="164" fontId="1" fillId="7" borderId="23" xfId="0" applyNumberFormat="1" applyFont="1" applyFill="1" applyBorder="1"/>
    <xf numFmtId="164" fontId="0" fillId="7" borderId="24" xfId="0" applyNumberFormat="1" applyFill="1" applyBorder="1"/>
    <xf numFmtId="0" fontId="0" fillId="7" borderId="77" xfId="0" applyFill="1" applyBorder="1" applyAlignment="1">
      <alignment horizontal="center" vertical="center" wrapText="1"/>
    </xf>
    <xf numFmtId="164" fontId="1" fillId="2" borderId="69" xfId="0" applyNumberFormat="1" applyFont="1" applyFill="1" applyBorder="1"/>
    <xf numFmtId="164" fontId="0" fillId="2" borderId="44" xfId="0" applyNumberFormat="1" applyFill="1" applyBorder="1"/>
    <xf numFmtId="1" fontId="0" fillId="2" borderId="44" xfId="0" applyNumberFormat="1" applyFill="1" applyBorder="1"/>
    <xf numFmtId="164" fontId="0" fillId="2" borderId="45" xfId="0" applyNumberFormat="1" applyFill="1" applyBorder="1"/>
    <xf numFmtId="0" fontId="0" fillId="8" borderId="75" xfId="0" applyFill="1" applyBorder="1" applyAlignment="1">
      <alignment horizontal="center" vertical="center" wrapText="1"/>
    </xf>
    <xf numFmtId="0" fontId="0" fillId="8" borderId="34" xfId="0" applyFill="1" applyBorder="1"/>
    <xf numFmtId="0" fontId="0" fillId="8" borderId="70" xfId="0" applyFill="1" applyBorder="1"/>
    <xf numFmtId="164" fontId="1" fillId="8" borderId="23" xfId="0" applyNumberFormat="1" applyFont="1" applyFill="1" applyBorder="1"/>
    <xf numFmtId="164" fontId="0" fillId="8" borderId="19" xfId="0" applyNumberFormat="1" applyFill="1" applyBorder="1"/>
    <xf numFmtId="1" fontId="0" fillId="8" borderId="19" xfId="0" applyNumberFormat="1" applyFill="1" applyBorder="1"/>
    <xf numFmtId="164" fontId="0" fillId="8" borderId="24" xfId="0" applyNumberFormat="1" applyFill="1" applyBorder="1"/>
    <xf numFmtId="0" fontId="0" fillId="8" borderId="48" xfId="0" applyFill="1" applyBorder="1" applyAlignment="1">
      <alignment horizontal="center" vertical="center" wrapText="1"/>
    </xf>
    <xf numFmtId="0" fontId="0" fillId="8" borderId="78" xfId="0" applyFill="1" applyBorder="1"/>
    <xf numFmtId="0" fontId="0" fillId="8" borderId="40" xfId="0" applyFill="1" applyBorder="1"/>
    <xf numFmtId="0" fontId="0" fillId="8" borderId="41" xfId="0" applyFill="1" applyBorder="1"/>
    <xf numFmtId="164" fontId="1" fillId="8" borderId="71" xfId="0" applyNumberFormat="1" applyFont="1" applyFill="1" applyBorder="1"/>
    <xf numFmtId="164" fontId="0" fillId="8" borderId="40" xfId="0" applyNumberFormat="1" applyFill="1" applyBorder="1"/>
    <xf numFmtId="1" fontId="0" fillId="8" borderId="40" xfId="0" applyNumberFormat="1" applyFill="1" applyBorder="1"/>
    <xf numFmtId="164" fontId="0" fillId="8" borderId="72" xfId="0" applyNumberFormat="1" applyFill="1" applyBorder="1"/>
    <xf numFmtId="0" fontId="0" fillId="8" borderId="47" xfId="0" applyFill="1" applyBorder="1" applyAlignment="1">
      <alignment horizontal="center" vertical="center" wrapText="1"/>
    </xf>
    <xf numFmtId="164" fontId="1" fillId="8" borderId="35" xfId="0" applyNumberFormat="1" applyFont="1" applyFill="1" applyBorder="1"/>
    <xf numFmtId="164" fontId="0" fillId="8" borderId="54" xfId="0" applyNumberFormat="1" applyFill="1" applyBorder="1"/>
    <xf numFmtId="1" fontId="0" fillId="8" borderId="54" xfId="0" applyNumberFormat="1" applyFill="1" applyBorder="1"/>
    <xf numFmtId="164" fontId="0" fillId="8" borderId="57" xfId="0" applyNumberFormat="1" applyFill="1" applyBorder="1"/>
    <xf numFmtId="0" fontId="0" fillId="0" borderId="53" xfId="0" applyBorder="1" applyAlignment="1">
      <alignment horizontal="center" vertical="center"/>
    </xf>
    <xf numFmtId="0" fontId="3" fillId="7" borderId="0" xfId="0" applyFont="1" applyFill="1"/>
    <xf numFmtId="0" fontId="3" fillId="7" borderId="19" xfId="0" applyFont="1" applyFill="1" applyBorder="1"/>
    <xf numFmtId="0" fontId="0" fillId="8" borderId="28" xfId="0" applyFill="1" applyBorder="1"/>
    <xf numFmtId="0" fontId="3" fillId="7" borderId="28" xfId="0" applyFont="1" applyFill="1" applyBorder="1"/>
    <xf numFmtId="164" fontId="1" fillId="2" borderId="35" xfId="0" applyNumberFormat="1" applyFont="1" applyFill="1" applyBorder="1"/>
    <xf numFmtId="164" fontId="0" fillId="2" borderId="54" xfId="0" applyNumberFormat="1" applyFill="1" applyBorder="1"/>
    <xf numFmtId="1" fontId="0" fillId="2" borderId="54" xfId="0" applyNumberFormat="1" applyFill="1" applyBorder="1"/>
    <xf numFmtId="164" fontId="0" fillId="2" borderId="57" xfId="0" applyNumberFormat="1" applyFill="1" applyBorder="1"/>
    <xf numFmtId="0" fontId="0" fillId="0" borderId="31" xfId="0" applyBorder="1"/>
    <xf numFmtId="0" fontId="0" fillId="0" borderId="28" xfId="0" applyBorder="1"/>
    <xf numFmtId="0" fontId="0" fillId="0" borderId="29" xfId="0" applyBorder="1"/>
    <xf numFmtId="0" fontId="0" fillId="0" borderId="82" xfId="0" applyBorder="1"/>
    <xf numFmtId="0" fontId="0" fillId="0" borderId="42" xfId="0" applyBorder="1"/>
    <xf numFmtId="0" fontId="1" fillId="0" borderId="58" xfId="0" applyFont="1" applyBorder="1"/>
    <xf numFmtId="0" fontId="1" fillId="0" borderId="74" xfId="0" applyFont="1" applyBorder="1"/>
    <xf numFmtId="0" fontId="0" fillId="0" borderId="76" xfId="0" applyBorder="1"/>
    <xf numFmtId="0" fontId="1" fillId="0" borderId="61" xfId="0" applyFont="1" applyBorder="1"/>
    <xf numFmtId="3" fontId="0" fillId="0" borderId="24" xfId="0" applyNumberFormat="1" applyBorder="1"/>
    <xf numFmtId="0" fontId="1" fillId="0" borderId="31" xfId="0" applyFont="1" applyBorder="1"/>
    <xf numFmtId="0" fontId="1" fillId="0" borderId="28" xfId="0" applyFont="1" applyBorder="1"/>
    <xf numFmtId="0" fontId="1" fillId="0" borderId="29" xfId="0" applyFont="1" applyBorder="1"/>
    <xf numFmtId="0" fontId="0" fillId="0" borderId="42" xfId="0" applyBorder="1" applyAlignment="1">
      <alignment horizontal="right"/>
    </xf>
    <xf numFmtId="0" fontId="0" fillId="9" borderId="42" xfId="0" applyFill="1" applyBorder="1"/>
    <xf numFmtId="0" fontId="0" fillId="9" borderId="76" xfId="0" applyFill="1" applyBorder="1"/>
    <xf numFmtId="0" fontId="4" fillId="0" borderId="0" xfId="0" applyFont="1"/>
    <xf numFmtId="0" fontId="0" fillId="0" borderId="0" xfId="0" applyAlignment="1">
      <alignment vertical="top" wrapText="1"/>
    </xf>
    <xf numFmtId="0" fontId="1" fillId="0" borderId="79" xfId="0" applyFont="1" applyBorder="1" applyAlignment="1">
      <alignment horizontal="center"/>
    </xf>
    <xf numFmtId="0" fontId="1" fillId="0" borderId="44" xfId="0" applyFont="1" applyBorder="1" applyAlignment="1">
      <alignment horizontal="center"/>
    </xf>
    <xf numFmtId="0" fontId="1" fillId="0" borderId="45" xfId="0" applyFont="1" applyBorder="1" applyAlignment="1">
      <alignment horizontal="center"/>
    </xf>
    <xf numFmtId="0" fontId="0" fillId="0" borderId="25" xfId="0" applyBorder="1" applyAlignment="1">
      <alignment horizontal="center"/>
    </xf>
    <xf numFmtId="0" fontId="0" fillId="0" borderId="72" xfId="0" applyBorder="1" applyAlignment="1">
      <alignment horizontal="center"/>
    </xf>
    <xf numFmtId="0" fontId="0" fillId="0" borderId="79" xfId="0" applyBorder="1" applyAlignment="1">
      <alignment horizontal="center"/>
    </xf>
    <xf numFmtId="0" fontId="0" fillId="0" borderId="40" xfId="0" applyBorder="1" applyAlignment="1">
      <alignment horizontal="center"/>
    </xf>
    <xf numFmtId="0" fontId="0" fillId="0" borderId="80" xfId="0" applyBorder="1" applyAlignment="1">
      <alignment horizontal="center"/>
    </xf>
    <xf numFmtId="0" fontId="0" fillId="0" borderId="81" xfId="0" applyBorder="1" applyAlignment="1">
      <alignment horizontal="center"/>
    </xf>
    <xf numFmtId="0" fontId="1" fillId="0" borderId="80" xfId="0" applyFont="1" applyBorder="1" applyAlignment="1">
      <alignment horizontal="center"/>
    </xf>
    <xf numFmtId="0" fontId="1" fillId="0" borderId="81" xfId="0" applyFont="1" applyBorder="1" applyAlignment="1">
      <alignment horizont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xf>
    <xf numFmtId="0" fontId="0" fillId="5" borderId="46" xfId="0" applyFill="1" applyBorder="1" applyAlignment="1">
      <alignment horizontal="center" vertical="center"/>
    </xf>
    <xf numFmtId="0" fontId="0" fillId="5" borderId="48" xfId="0" applyFill="1" applyBorder="1" applyAlignment="1">
      <alignment horizontal="center" vertical="center"/>
    </xf>
    <xf numFmtId="0" fontId="0" fillId="6" borderId="46" xfId="0" applyFill="1" applyBorder="1" applyAlignment="1">
      <alignment horizontal="center" vertical="center"/>
    </xf>
    <xf numFmtId="0" fontId="0" fillId="6" borderId="48" xfId="0" applyFill="1" applyBorder="1" applyAlignment="1">
      <alignment horizontal="center" vertical="center"/>
    </xf>
    <xf numFmtId="0" fontId="0" fillId="0" borderId="61" xfId="0" applyBorder="1" applyAlignment="1">
      <alignment horizontal="center"/>
    </xf>
    <xf numFmtId="0" fontId="0" fillId="0" borderId="21" xfId="0" applyBorder="1" applyAlignment="1">
      <alignment horizontal="center"/>
    </xf>
    <xf numFmtId="0" fontId="0" fillId="0" borderId="62" xfId="0" applyBorder="1" applyAlignment="1">
      <alignment horizontal="center"/>
    </xf>
    <xf numFmtId="0" fontId="0" fillId="0" borderId="63" xfId="0" applyBorder="1" applyAlignment="1">
      <alignment horizontal="center"/>
    </xf>
    <xf numFmtId="0" fontId="0" fillId="0" borderId="52" xfId="0" applyBorder="1" applyAlignment="1">
      <alignment horizontal="center" vertical="center" wrapText="1"/>
    </xf>
    <xf numFmtId="0" fontId="0" fillId="0" borderId="42" xfId="0" applyBorder="1" applyAlignment="1">
      <alignment horizontal="center" vertical="center" wrapText="1"/>
    </xf>
    <xf numFmtId="0" fontId="0" fillId="0" borderId="53" xfId="0" applyBorder="1" applyAlignment="1">
      <alignment horizontal="center" vertical="center" wrapText="1"/>
    </xf>
    <xf numFmtId="0" fontId="0" fillId="0" borderId="47" xfId="0" applyBorder="1" applyAlignment="1">
      <alignment horizontal="center" vertical="center"/>
    </xf>
    <xf numFmtId="0" fontId="0" fillId="0" borderId="20" xfId="0" applyBorder="1" applyAlignment="1">
      <alignment horizontal="center" vertical="center"/>
    </xf>
    <xf numFmtId="0" fontId="0" fillId="0" borderId="58" xfId="0" applyBorder="1" applyAlignment="1">
      <alignment horizontal="center" vertical="center"/>
    </xf>
    <xf numFmtId="0" fontId="0" fillId="0" borderId="0" xfId="0" applyAlignment="1">
      <alignment horizontal="center"/>
    </xf>
    <xf numFmtId="0" fontId="0" fillId="0" borderId="56" xfId="0" applyBorder="1" applyAlignment="1">
      <alignment horizontal="center" vertical="center"/>
    </xf>
    <xf numFmtId="0" fontId="0" fillId="0" borderId="20" xfId="0" applyBorder="1" applyAlignment="1">
      <alignment horizontal="center"/>
    </xf>
    <xf numFmtId="0" fontId="0" fillId="0" borderId="22" xfId="0" applyBorder="1" applyAlignment="1">
      <alignment horizontal="center"/>
    </xf>
    <xf numFmtId="0" fontId="0" fillId="2" borderId="46" xfId="0" applyFill="1" applyBorder="1" applyAlignment="1">
      <alignment horizontal="center" vertical="center" wrapText="1"/>
    </xf>
    <xf numFmtId="0" fontId="0" fillId="2" borderId="47" xfId="0" applyFill="1" applyBorder="1" applyAlignment="1">
      <alignment horizontal="center" vertical="center" wrapText="1"/>
    </xf>
    <xf numFmtId="0" fontId="0" fillId="0" borderId="20" xfId="0" applyBorder="1" applyAlignment="1">
      <alignment horizontal="center" vertical="center" wrapText="1"/>
    </xf>
    <xf numFmtId="0" fontId="0" fillId="0" borderId="56" xfId="0" applyBorder="1" applyAlignment="1">
      <alignment horizontal="center" vertical="center" wrapText="1"/>
    </xf>
    <xf numFmtId="0" fontId="0" fillId="0" borderId="58" xfId="0" applyBorder="1" applyAlignment="1">
      <alignment horizontal="center" vertical="center" wrapText="1"/>
    </xf>
    <xf numFmtId="0" fontId="0" fillId="0" borderId="52" xfId="0" applyBorder="1" applyAlignment="1">
      <alignment horizontal="center" vertical="center"/>
    </xf>
    <xf numFmtId="0" fontId="0" fillId="0" borderId="64" xfId="0" applyBorder="1" applyAlignment="1">
      <alignment horizontal="center" vertical="center"/>
    </xf>
    <xf numFmtId="0" fontId="0" fillId="0" borderId="67" xfId="0" applyBorder="1" applyAlignment="1">
      <alignment horizontal="center" vertical="center"/>
    </xf>
    <xf numFmtId="0" fontId="0" fillId="0" borderId="64" xfId="0" applyBorder="1" applyAlignment="1">
      <alignment horizontal="center" vertical="center" wrapText="1"/>
    </xf>
    <xf numFmtId="0" fontId="0" fillId="0" borderId="67" xfId="0" applyBorder="1" applyAlignment="1">
      <alignment horizontal="center" vertical="center" wrapText="1"/>
    </xf>
    <xf numFmtId="0" fontId="0" fillId="2" borderId="16" xfId="0" applyFill="1" applyBorder="1" applyAlignment="1">
      <alignment horizontal="center" vertical="center"/>
    </xf>
    <xf numFmtId="0" fontId="0" fillId="2" borderId="17" xfId="0" applyFill="1" applyBorder="1" applyAlignment="1">
      <alignment horizontal="center" vertical="center"/>
    </xf>
    <xf numFmtId="0" fontId="0" fillId="2" borderId="18" xfId="0" applyFill="1" applyBorder="1" applyAlignment="1">
      <alignment horizontal="center" vertical="center"/>
    </xf>
  </cellXfs>
  <cellStyles count="1">
    <cellStyle name="Standaard" xfId="0" builtinId="0"/>
  </cellStyles>
  <dxfs count="0"/>
  <tableStyles count="0" defaultTableStyle="TableStyleMedium2" defaultPivotStyle="PivotStyleLight16"/>
  <colors>
    <mruColors>
      <color rgb="FFE0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3</xdr:col>
      <xdr:colOff>561975</xdr:colOff>
      <xdr:row>7</xdr:row>
      <xdr:rowOff>66675</xdr:rowOff>
    </xdr:from>
    <xdr:to>
      <xdr:col>9</xdr:col>
      <xdr:colOff>47625</xdr:colOff>
      <xdr:row>19</xdr:row>
      <xdr:rowOff>19050</xdr:rowOff>
    </xdr:to>
    <xdr:pic>
      <xdr:nvPicPr>
        <xdr:cNvPr id="6" name="Afbeelding 5" descr="A graph with blue and orange lines&#10;&#10;Description automatically generated">
          <a:extLst>
            <a:ext uri="{FF2B5EF4-FFF2-40B4-BE49-F238E27FC236}">
              <a16:creationId xmlns:a16="http://schemas.microsoft.com/office/drawing/2014/main" id="{609C951F-0437-6B58-7DE2-08F3EBE577EE}"/>
            </a:ext>
          </a:extLst>
        </xdr:cNvPr>
        <xdr:cNvPicPr>
          <a:picLocks noChangeAspect="1"/>
        </xdr:cNvPicPr>
      </xdr:nvPicPr>
      <xdr:blipFill>
        <a:blip xmlns:r="http://schemas.openxmlformats.org/officeDocument/2006/relationships" r:embed="rId1"/>
        <a:stretch>
          <a:fillRect/>
        </a:stretch>
      </xdr:blipFill>
      <xdr:spPr>
        <a:xfrm>
          <a:off x="3495675" y="1447800"/>
          <a:ext cx="4572000" cy="2238375"/>
        </a:xfrm>
        <a:prstGeom prst="rect">
          <a:avLst/>
        </a:prstGeom>
      </xdr:spPr>
    </xdr:pic>
    <xdr:clientData/>
  </xdr:twoCellAnchor>
  <xdr:twoCellAnchor editAs="oneCell">
    <xdr:from>
      <xdr:col>8</xdr:col>
      <xdr:colOff>981075</xdr:colOff>
      <xdr:row>7</xdr:row>
      <xdr:rowOff>47625</xdr:rowOff>
    </xdr:from>
    <xdr:to>
      <xdr:col>16</xdr:col>
      <xdr:colOff>200025</xdr:colOff>
      <xdr:row>19</xdr:row>
      <xdr:rowOff>0</xdr:rowOff>
    </xdr:to>
    <xdr:pic>
      <xdr:nvPicPr>
        <xdr:cNvPr id="7" name="Afbeelding 6" descr="A graph with blue and orange lines&#10;&#10;Description automatically generated">
          <a:extLst>
            <a:ext uri="{FF2B5EF4-FFF2-40B4-BE49-F238E27FC236}">
              <a16:creationId xmlns:a16="http://schemas.microsoft.com/office/drawing/2014/main" id="{CDD89D4E-66E6-7F69-93C5-3F5356CE2AE0}"/>
            </a:ext>
            <a:ext uri="{147F2762-F138-4A5C-976F-8EAC2B608ADB}">
              <a16:predDERef xmlns:a16="http://schemas.microsoft.com/office/drawing/2014/main" pred="{609C951F-0437-6B58-7DE2-08F3EBE577EE}"/>
            </a:ext>
          </a:extLst>
        </xdr:cNvPr>
        <xdr:cNvPicPr>
          <a:picLocks noChangeAspect="1"/>
        </xdr:cNvPicPr>
      </xdr:nvPicPr>
      <xdr:blipFill>
        <a:blip xmlns:r="http://schemas.openxmlformats.org/officeDocument/2006/relationships" r:embed="rId2"/>
        <a:stretch>
          <a:fillRect/>
        </a:stretch>
      </xdr:blipFill>
      <xdr:spPr>
        <a:xfrm>
          <a:off x="7915275" y="1428750"/>
          <a:ext cx="4572000" cy="2238375"/>
        </a:xfrm>
        <a:prstGeom prst="rect">
          <a:avLst/>
        </a:prstGeom>
      </xdr:spPr>
    </xdr:pic>
    <xdr:clientData/>
  </xdr:twoCellAnchor>
  <xdr:twoCellAnchor editAs="oneCell">
    <xdr:from>
      <xdr:col>6</xdr:col>
      <xdr:colOff>847725</xdr:colOff>
      <xdr:row>18</xdr:row>
      <xdr:rowOff>133350</xdr:rowOff>
    </xdr:from>
    <xdr:to>
      <xdr:col>12</xdr:col>
      <xdr:colOff>333375</xdr:colOff>
      <xdr:row>30</xdr:row>
      <xdr:rowOff>85725</xdr:rowOff>
    </xdr:to>
    <xdr:pic>
      <xdr:nvPicPr>
        <xdr:cNvPr id="8" name="Afbeelding 7" descr="A graph of a graph showing a number of different layers&#10;&#10;Description automatically generated with medium confidence">
          <a:extLst>
            <a:ext uri="{FF2B5EF4-FFF2-40B4-BE49-F238E27FC236}">
              <a16:creationId xmlns:a16="http://schemas.microsoft.com/office/drawing/2014/main" id="{16A51367-B8D5-FD7F-CF2F-EC54503A4D2D}"/>
            </a:ext>
            <a:ext uri="{147F2762-F138-4A5C-976F-8EAC2B608ADB}">
              <a16:predDERef xmlns:a16="http://schemas.microsoft.com/office/drawing/2014/main" pred="{CDD89D4E-66E6-7F69-93C5-3F5356CE2AE0}"/>
            </a:ext>
          </a:extLst>
        </xdr:cNvPr>
        <xdr:cNvPicPr>
          <a:picLocks noChangeAspect="1"/>
        </xdr:cNvPicPr>
      </xdr:nvPicPr>
      <xdr:blipFill>
        <a:blip xmlns:r="http://schemas.openxmlformats.org/officeDocument/2006/relationships" r:embed="rId3"/>
        <a:stretch>
          <a:fillRect/>
        </a:stretch>
      </xdr:blipFill>
      <xdr:spPr>
        <a:xfrm>
          <a:off x="5610225" y="3609975"/>
          <a:ext cx="4572000" cy="2238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257175</xdr:colOff>
      <xdr:row>0</xdr:row>
      <xdr:rowOff>104775</xdr:rowOff>
    </xdr:from>
    <xdr:to>
      <xdr:col>21</xdr:col>
      <xdr:colOff>257175</xdr:colOff>
      <xdr:row>8</xdr:row>
      <xdr:rowOff>28575</xdr:rowOff>
    </xdr:to>
    <xdr:sp macro="" textlink="">
      <xdr:nvSpPr>
        <xdr:cNvPr id="4" name="Tekstvak 3">
          <a:extLst>
            <a:ext uri="{FF2B5EF4-FFF2-40B4-BE49-F238E27FC236}">
              <a16:creationId xmlns:a16="http://schemas.microsoft.com/office/drawing/2014/main" id="{BE9D33BA-D55E-D2A7-90F2-3EEA485D941A}"/>
            </a:ext>
          </a:extLst>
        </xdr:cNvPr>
        <xdr:cNvSpPr txBox="1"/>
      </xdr:nvSpPr>
      <xdr:spPr>
        <a:xfrm>
          <a:off x="4686300" y="104775"/>
          <a:ext cx="8534400" cy="1647825"/>
        </a:xfrm>
        <a:prstGeom prst="rect">
          <a:avLst/>
        </a:prstGeom>
        <a:solidFill>
          <a:schemeClr val="accent4">
            <a:lumMod val="40000"/>
            <a:lumOff val="6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Ground temperature cases</a:t>
          </a:r>
        </a:p>
        <a:p>
          <a:pPr marL="0" indent="0" algn="l"/>
          <a:r>
            <a:rPr lang="en-US" sz="1100" b="0" i="0" u="none" strike="noStrike">
              <a:solidFill>
                <a:srgbClr val="000000"/>
              </a:solidFill>
              <a:latin typeface="Calibri" panose="020F0502020204030204" pitchFamily="34" charset="0"/>
              <a:cs typeface="Calibri" panose="020F0502020204030204" pitchFamily="34" charset="0"/>
            </a:rPr>
            <a:t>1. Constant ground temperature</a:t>
          </a:r>
        </a:p>
        <a:p>
          <a:pPr marL="0" indent="0" algn="l"/>
          <a:r>
            <a:rPr lang="en-US" sz="1100" b="0" i="0" u="none" strike="noStrike">
              <a:solidFill>
                <a:srgbClr val="000000"/>
              </a:solidFill>
              <a:latin typeface="Calibri" panose="020F0502020204030204" pitchFamily="34" charset="0"/>
              <a:cs typeface="Calibri" panose="020F0502020204030204" pitchFamily="34" charset="0"/>
            </a:rPr>
            <a:t>2. Gradient of 1 K/100m in ground temperature = Geothermal heat flux of 0.03 W/m^2 (gradient/100 * k_s = 0.01 K/m * 3 W/mK)</a:t>
          </a:r>
        </a:p>
        <a:p>
          <a:pPr marL="0" indent="0" algn="l"/>
          <a:r>
            <a:rPr lang="en-US" sz="1100" b="0" i="0" u="none" strike="noStrike">
              <a:solidFill>
                <a:srgbClr val="000000"/>
              </a:solidFill>
              <a:latin typeface="Calibri" panose="020F0502020204030204" pitchFamily="34" charset="0"/>
              <a:cs typeface="Calibri" panose="020F0502020204030204" pitchFamily="34" charset="0"/>
            </a:rPr>
            <a:t>3. Gradient of 2 K/100m in ground temperature = Geothermal heat flux of 0.06 W/m^2</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4. Gradient of 3 K/100m in ground temperature = Geothermal heat flux of 0.09 W/m^2</a:t>
          </a:r>
        </a:p>
        <a:p>
          <a:pPr marL="0" marR="0" indent="0" algn="l">
            <a:lnSpc>
              <a:spcPct val="100000"/>
            </a:lnSpc>
            <a:spcBef>
              <a:spcPts val="0"/>
            </a:spcBef>
            <a:spcAft>
              <a:spcPts val="0"/>
            </a:spcAft>
          </a:pPr>
          <a:endParaRPr lang="en-US" sz="1100" b="0" i="0" u="none" strike="noStrike">
            <a:solidFill>
              <a:srgbClr val="000000"/>
            </a:solidFill>
            <a:latin typeface="Calibri" panose="020F0502020204030204" pitchFamily="34" charset="0"/>
            <a:cs typeface="Calibri" panose="020F0502020204030204" pitchFamily="34" charset="0"/>
          </a:endParaRP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Relationship gradient and geothermal heat flux:</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geothermal gradient is equal to the geothermal heat flux divided by the  Ground thermal conductivity k_s [W/mK] --&gt; k_s = 3 W/mK</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Example 3) gradient = 0.06 W/m^2 / (3 W/mK) = 0.02 K/m = 2 K/100m</a:t>
          </a:r>
        </a:p>
      </xdr:txBody>
    </xdr:sp>
    <xdr:clientData/>
  </xdr:twoCellAnchor>
  <xdr:twoCellAnchor>
    <xdr:from>
      <xdr:col>7</xdr:col>
      <xdr:colOff>276225</xdr:colOff>
      <xdr:row>9</xdr:row>
      <xdr:rowOff>47625</xdr:rowOff>
    </xdr:from>
    <xdr:to>
      <xdr:col>19</xdr:col>
      <xdr:colOff>285750</xdr:colOff>
      <xdr:row>16</xdr:row>
      <xdr:rowOff>9525</xdr:rowOff>
    </xdr:to>
    <xdr:sp macro="" textlink="">
      <xdr:nvSpPr>
        <xdr:cNvPr id="9" name="Tekstvak 8">
          <a:extLst>
            <a:ext uri="{FF2B5EF4-FFF2-40B4-BE49-F238E27FC236}">
              <a16:creationId xmlns:a16="http://schemas.microsoft.com/office/drawing/2014/main" id="{47073CCA-8031-4F81-BC6D-E842E243202F}"/>
            </a:ext>
            <a:ext uri="{147F2762-F138-4A5C-976F-8EAC2B608ADB}">
              <a16:predDERef xmlns:a16="http://schemas.microsoft.com/office/drawing/2014/main" pred="{BE9D33BA-D55E-D2A7-90F2-3EEA485D941A}"/>
            </a:ext>
          </a:extLst>
        </xdr:cNvPr>
        <xdr:cNvSpPr txBox="1"/>
      </xdr:nvSpPr>
      <xdr:spPr>
        <a:xfrm>
          <a:off x="4705350" y="1962150"/>
          <a:ext cx="7324725" cy="1295400"/>
        </a:xfrm>
        <a:prstGeom prst="rect">
          <a:avLst/>
        </a:prstGeom>
        <a:solidFill>
          <a:schemeClr val="accent5">
            <a:lumMod val="60000"/>
            <a:lumOff val="4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sng" strike="noStrike">
              <a:solidFill>
                <a:srgbClr val="000000"/>
              </a:solidFill>
              <a:latin typeface="Calibri" panose="020F0502020204030204" pitchFamily="34" charset="0"/>
              <a:cs typeface="Calibri" panose="020F0502020204030204" pitchFamily="34" charset="0"/>
            </a:rPr>
            <a:t>Unsolved Questions:</a:t>
          </a:r>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1. Why Modelica gives bigger sizes when using constant ground temperature?? (Should expext lower, since dynamic behavior is taken into account and ground behaviour is the same)</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2. Sizing with geothermal flux in GHEtool and then taken _Tg (average ground temperature) as input into constant ground temperature model in modelica. Is this accurate?</a:t>
          </a:r>
        </a:p>
      </xdr:txBody>
    </xdr:sp>
    <xdr:clientData/>
  </xdr:twoCellAnchor>
  <xdr:twoCellAnchor>
    <xdr:from>
      <xdr:col>7</xdr:col>
      <xdr:colOff>304800</xdr:colOff>
      <xdr:row>17</xdr:row>
      <xdr:rowOff>114300</xdr:rowOff>
    </xdr:from>
    <xdr:to>
      <xdr:col>13</xdr:col>
      <xdr:colOff>0</xdr:colOff>
      <xdr:row>29</xdr:row>
      <xdr:rowOff>66675</xdr:rowOff>
    </xdr:to>
    <xdr:sp macro="" textlink="">
      <xdr:nvSpPr>
        <xdr:cNvPr id="2" name="Tekstvak 1">
          <a:extLst>
            <a:ext uri="{FF2B5EF4-FFF2-40B4-BE49-F238E27FC236}">
              <a16:creationId xmlns:a16="http://schemas.microsoft.com/office/drawing/2014/main" id="{DDD6D61F-16E0-02B7-736E-B4DC23AD553B}"/>
            </a:ext>
            <a:ext uri="{147F2762-F138-4A5C-976F-8EAC2B608ADB}">
              <a16:predDERef xmlns:a16="http://schemas.microsoft.com/office/drawing/2014/main" pred="{47073CCA-8031-4F81-BC6D-E842E243202F}"/>
            </a:ext>
          </a:extLst>
        </xdr:cNvPr>
        <xdr:cNvSpPr txBox="1"/>
      </xdr:nvSpPr>
      <xdr:spPr>
        <a:xfrm>
          <a:off x="4733925" y="3552825"/>
          <a:ext cx="3352800" cy="2238375"/>
        </a:xfrm>
        <a:prstGeom prst="rect">
          <a:avLst/>
        </a:prstGeom>
        <a:solidFill>
          <a:schemeClr val="accent6">
            <a:lumMod val="40000"/>
            <a:lumOff val="6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To Do's </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Modelica:</a:t>
          </a:r>
        </a:p>
        <a:p>
          <a:pPr marL="0" indent="0" algn="l"/>
          <a:r>
            <a:rPr lang="en-US" sz="1100" b="0" i="0" u="none" strike="noStrike">
              <a:solidFill>
                <a:srgbClr val="000000"/>
              </a:solidFill>
              <a:latin typeface="Calibri" panose="020F0502020204030204" pitchFamily="34" charset="0"/>
              <a:cs typeface="Calibri" panose="020F0502020204030204" pitchFamily="34" charset="0"/>
            </a:rPr>
            <a:t>*definitie g-functie: tov boorgatwand of grond?</a:t>
          </a:r>
        </a:p>
        <a:p>
          <a:pPr marL="0" indent="0" algn="l"/>
          <a:r>
            <a:rPr lang="en-US" sz="1100" b="0" i="0" u="none" strike="noStrike">
              <a:solidFill>
                <a:srgbClr val="000000"/>
              </a:solidFill>
              <a:latin typeface="Calibri" panose="020F0502020204030204" pitchFamily="34" charset="0"/>
              <a:cs typeface="Calibri" panose="020F0502020204030204" pitchFamily="34" charset="0"/>
            </a:rPr>
            <a:t>* gradient model</a:t>
          </a:r>
        </a:p>
        <a:p>
          <a:pPr marL="0" indent="0" algn="l"/>
          <a:r>
            <a:rPr lang="en-US" sz="1100" b="0" i="0" u="none" strike="noStrike">
              <a:solidFill>
                <a:srgbClr val="000000"/>
              </a:solidFill>
              <a:latin typeface="Calibri" panose="020F0502020204030204" pitchFamily="34" charset="0"/>
              <a:cs typeface="Calibri" panose="020F0502020204030204" pitchFamily="34" charset="0"/>
            </a:rPr>
            <a:t>* constante temperatuuur (grondtemperatuur zelf uitrekenen)</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g-functie</a:t>
          </a:r>
        </a:p>
        <a:p>
          <a:pPr marL="0" indent="0" algn="l"/>
          <a:r>
            <a:rPr lang="en-US" sz="1100" b="0" i="0" u="none" strike="noStrike">
              <a:solidFill>
                <a:srgbClr val="000000"/>
              </a:solidFill>
              <a:latin typeface="Calibri" panose="020F0502020204030204" pitchFamily="34" charset="0"/>
              <a:cs typeface="Calibri" panose="020F0502020204030204" pitchFamily="34" charset="0"/>
            </a:rPr>
            <a:t>* aanname constante boorgatwand temperatuur </a:t>
          </a:r>
        </a:p>
        <a:p>
          <a:pPr marL="0" indent="0" algn="l"/>
          <a:r>
            <a:rPr lang="en-US" sz="1100" b="0" i="0" u="none" strike="noStrike">
              <a:solidFill>
                <a:srgbClr val="000000"/>
              </a:solidFill>
              <a:latin typeface="Calibri" panose="020F0502020204030204" pitchFamily="34" charset="0"/>
              <a:cs typeface="Calibri" panose="020F0502020204030204" pitchFamily="34" charset="0"/>
            </a:rPr>
            <a:t>* Dus gradient in rekening nemen niet correct.</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523875</xdr:colOff>
      <xdr:row>1</xdr:row>
      <xdr:rowOff>114300</xdr:rowOff>
    </xdr:from>
    <xdr:to>
      <xdr:col>22</xdr:col>
      <xdr:colOff>133350</xdr:colOff>
      <xdr:row>5</xdr:row>
      <xdr:rowOff>114300</xdr:rowOff>
    </xdr:to>
    <xdr:sp macro="" textlink="">
      <xdr:nvSpPr>
        <xdr:cNvPr id="8" name="Tekstvak 7">
          <a:extLst>
            <a:ext uri="{FF2B5EF4-FFF2-40B4-BE49-F238E27FC236}">
              <a16:creationId xmlns:a16="http://schemas.microsoft.com/office/drawing/2014/main" id="{9610C2D8-223D-4992-A52D-55D9F3A7B56B}"/>
            </a:ext>
          </a:extLst>
        </xdr:cNvPr>
        <xdr:cNvSpPr txBox="1"/>
      </xdr:nvSpPr>
      <xdr:spPr>
        <a:xfrm>
          <a:off x="10020300" y="304800"/>
          <a:ext cx="3876675" cy="1343025"/>
        </a:xfrm>
        <a:prstGeom prst="rect">
          <a:avLst/>
        </a:prstGeom>
        <a:solidFill>
          <a:schemeClr val="accent4">
            <a:lumMod val="40000"/>
            <a:lumOff val="60000"/>
          </a:schemeClr>
        </a:solidFill>
        <a:ln w="9525" cmpd="sng">
          <a:solidFill>
            <a:schemeClr val="lt1">
              <a:shade val="50000"/>
            </a:schemeClr>
          </a:solid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Ground temperature cases</a:t>
          </a:r>
        </a:p>
        <a:p>
          <a:pPr marL="0" indent="0" algn="l"/>
          <a:r>
            <a:rPr lang="en-US" sz="1100" b="0" i="0" u="none" strike="noStrike">
              <a:solidFill>
                <a:srgbClr val="000000"/>
              </a:solidFill>
              <a:latin typeface="Calibri" panose="020F0502020204030204" pitchFamily="34" charset="0"/>
              <a:cs typeface="Calibri" panose="020F0502020204030204" pitchFamily="34" charset="0"/>
            </a:rPr>
            <a:t>1. Constant ground temperature</a:t>
          </a:r>
        </a:p>
        <a:p>
          <a:pPr marL="0" indent="0" algn="l"/>
          <a:r>
            <a:rPr lang="en-US" sz="1100" b="0" i="0" u="none" strike="noStrike">
              <a:solidFill>
                <a:srgbClr val="000000"/>
              </a:solidFill>
              <a:latin typeface="Calibri" panose="020F0502020204030204" pitchFamily="34" charset="0"/>
              <a:cs typeface="Calibri" panose="020F0502020204030204" pitchFamily="34" charset="0"/>
            </a:rPr>
            <a:t>2. Gradient of 1 K/100m in ground temperature (gradient model)</a:t>
          </a:r>
        </a:p>
        <a:p>
          <a:pPr marL="0" indent="0" algn="l"/>
          <a:r>
            <a:rPr lang="en-US" sz="1100" b="0" i="0" u="none" strike="noStrike">
              <a:solidFill>
                <a:srgbClr val="000000"/>
              </a:solidFill>
              <a:latin typeface="Calibri" panose="020F0502020204030204" pitchFamily="34" charset="0"/>
              <a:cs typeface="Calibri" panose="020F0502020204030204" pitchFamily="34" charset="0"/>
            </a:rPr>
            <a:t>3. Geothermal heat flux of 0.06 W/m^2</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4. Equivalent method (cst model) for gradient 1 K/100m </a:t>
          </a:r>
        </a:p>
        <a:p>
          <a:pPr marL="0" marR="0" indent="0" algn="l">
            <a:lnSpc>
              <a:spcPct val="100000"/>
            </a:lnSpc>
            <a:spcBef>
              <a:spcPts val="0"/>
            </a:spcBef>
            <a:spcAft>
              <a:spcPts val="0"/>
            </a:spcAft>
          </a:pPr>
          <a:r>
            <a:rPr lang="en-US" sz="1100" b="0" i="0" u="none" strike="noStrike">
              <a:solidFill>
                <a:srgbClr val="000000"/>
              </a:solidFill>
              <a:latin typeface="Calibri" panose="020F0502020204030204" pitchFamily="34" charset="0"/>
              <a:cs typeface="Calibri" panose="020F0502020204030204" pitchFamily="34" charset="0"/>
            </a:rPr>
            <a:t>5. Equivalent method (cst model) for gradient 2 K/100m = 0.06 W/m^m flux</a:t>
          </a:r>
        </a:p>
      </xdr:txBody>
    </xdr:sp>
    <xdr:clientData/>
  </xdr:twoCellAnchor>
  <xdr:twoCellAnchor>
    <xdr:from>
      <xdr:col>15</xdr:col>
      <xdr:colOff>504825</xdr:colOff>
      <xdr:row>6</xdr:row>
      <xdr:rowOff>85725</xdr:rowOff>
    </xdr:from>
    <xdr:to>
      <xdr:col>22</xdr:col>
      <xdr:colOff>152400</xdr:colOff>
      <xdr:row>10</xdr:row>
      <xdr:rowOff>19050</xdr:rowOff>
    </xdr:to>
    <xdr:sp macro="" textlink="">
      <xdr:nvSpPr>
        <xdr:cNvPr id="10" name="Tekstvak 9">
          <a:extLst>
            <a:ext uri="{FF2B5EF4-FFF2-40B4-BE49-F238E27FC236}">
              <a16:creationId xmlns:a16="http://schemas.microsoft.com/office/drawing/2014/main" id="{36B3DFF9-BC1D-CC4C-0E95-B9F6D5A5AEE6}"/>
            </a:ext>
            <a:ext uri="{147F2762-F138-4A5C-976F-8EAC2B608ADB}">
              <a16:predDERef xmlns:a16="http://schemas.microsoft.com/office/drawing/2014/main" pred="{9610C2D8-223D-4992-A52D-55D9F3A7B56B}"/>
            </a:ext>
          </a:extLst>
        </xdr:cNvPr>
        <xdr:cNvSpPr txBox="1"/>
      </xdr:nvSpPr>
      <xdr:spPr>
        <a:xfrm>
          <a:off x="10001250" y="1809750"/>
          <a:ext cx="3914775" cy="695325"/>
        </a:xfrm>
        <a:prstGeom prst="rect">
          <a:avLst/>
        </a:prstGeom>
        <a:solidFill>
          <a:schemeClr val="accent5">
            <a:lumMod val="60000"/>
            <a:lumOff val="4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Prelimanary Conclusions</a:t>
          </a:r>
        </a:p>
        <a:p>
          <a:pPr marL="0" indent="0" algn="l"/>
          <a:r>
            <a:rPr lang="en-US" sz="1100" b="0" i="0" u="none" strike="noStrike">
              <a:solidFill>
                <a:srgbClr val="000000"/>
              </a:solidFill>
              <a:latin typeface="Calibri" panose="020F0502020204030204" pitchFamily="34" charset="0"/>
              <a:cs typeface="Calibri" panose="020F0502020204030204" pitchFamily="34" charset="0"/>
            </a:rPr>
            <a:t>1. Very good estimated guess is needed to reduce number of iterations and consequently time needed for sizing</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xdr:txBody>
    </xdr:sp>
    <xdr:clientData/>
  </xdr:twoCellAnchor>
  <xdr:twoCellAnchor>
    <xdr:from>
      <xdr:col>15</xdr:col>
      <xdr:colOff>523875</xdr:colOff>
      <xdr:row>11</xdr:row>
      <xdr:rowOff>9525</xdr:rowOff>
    </xdr:from>
    <xdr:to>
      <xdr:col>22</xdr:col>
      <xdr:colOff>295275</xdr:colOff>
      <xdr:row>19</xdr:row>
      <xdr:rowOff>133350</xdr:rowOff>
    </xdr:to>
    <xdr:sp macro="" textlink="">
      <xdr:nvSpPr>
        <xdr:cNvPr id="2" name="Tekstvak 1">
          <a:extLst>
            <a:ext uri="{FF2B5EF4-FFF2-40B4-BE49-F238E27FC236}">
              <a16:creationId xmlns:a16="http://schemas.microsoft.com/office/drawing/2014/main" id="{7F1198EA-EE11-8475-8201-5D2A6D9C061B}"/>
            </a:ext>
            <a:ext uri="{147F2762-F138-4A5C-976F-8EAC2B608ADB}">
              <a16:predDERef xmlns:a16="http://schemas.microsoft.com/office/drawing/2014/main" pred="{36B3DFF9-BC1D-CC4C-0E95-B9F6D5A5AEE6}"/>
            </a:ext>
          </a:extLst>
        </xdr:cNvPr>
        <xdr:cNvSpPr txBox="1"/>
      </xdr:nvSpPr>
      <xdr:spPr>
        <a:xfrm>
          <a:off x="10020300" y="2686050"/>
          <a:ext cx="4038600" cy="1647825"/>
        </a:xfrm>
        <a:prstGeom prst="rect">
          <a:avLst/>
        </a:prstGeom>
        <a:solidFill>
          <a:schemeClr val="accent6">
            <a:lumMod val="40000"/>
            <a:lumOff val="6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Lessons Learnt:</a:t>
          </a:r>
        </a:p>
        <a:p>
          <a:pPr marL="0" indent="0" algn="l"/>
          <a:r>
            <a:rPr lang="en-US" sz="1100" b="0" i="0" u="none" strike="noStrike">
              <a:solidFill>
                <a:srgbClr val="000000"/>
              </a:solidFill>
              <a:latin typeface="Calibri" panose="020F0502020204030204" pitchFamily="34" charset="0"/>
              <a:cs typeface="Calibri" panose="020F0502020204030204" pitchFamily="34" charset="0"/>
            </a:rPr>
            <a:t>1. Use Water no AntiFreeze as HTF in boreholes, Antifreeze gives very wrong results (see right) (why?). For constant temperature case the following required lenghts were obtained with anaitfreeze: 162.9, 192.2 and 358.0</a:t>
          </a:r>
        </a:p>
        <a:p>
          <a:pPr marL="0" indent="0" algn="l"/>
          <a:r>
            <a:rPr lang="en-US" sz="1100" b="0" i="0" u="none" strike="noStrike">
              <a:solidFill>
                <a:srgbClr val="000000"/>
              </a:solidFill>
              <a:latin typeface="Calibri" panose="020F0502020204030204" pitchFamily="34" charset="0"/>
              <a:cs typeface="Calibri" panose="020F0502020204030204" pitchFamily="34" charset="0"/>
            </a:rPr>
            <a:t>2. Use small enough integration time step when using Euler (30s is aalready to big sometimes, get stuck in fluid temperature minimal constraint)</a:t>
          </a:r>
          <a:endParaRPr lang="en-US" sz="1100" b="0" i="0" u="none" strike="noStrike">
            <a:solidFill>
              <a:srgbClr val="000000"/>
            </a:solidFill>
            <a:latin typeface="+mn-lt"/>
            <a:ea typeface="+mn-lt"/>
            <a:cs typeface="+mn-lt"/>
          </a:endParaRPr>
        </a:p>
        <a:p>
          <a:pPr marL="0" indent="0" algn="l"/>
          <a:endParaRPr lang="en-US" sz="1100">
            <a:latin typeface="+mn-lt"/>
            <a:ea typeface="+mn-lt"/>
            <a:cs typeface="+mn-l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2</xdr:row>
      <xdr:rowOff>152400</xdr:rowOff>
    </xdr:from>
    <xdr:to>
      <xdr:col>19</xdr:col>
      <xdr:colOff>47625</xdr:colOff>
      <xdr:row>11</xdr:row>
      <xdr:rowOff>161925</xdr:rowOff>
    </xdr:to>
    <xdr:sp macro="" textlink="">
      <xdr:nvSpPr>
        <xdr:cNvPr id="2" name="Tekstvak 1">
          <a:extLst>
            <a:ext uri="{FF2B5EF4-FFF2-40B4-BE49-F238E27FC236}">
              <a16:creationId xmlns:a16="http://schemas.microsoft.com/office/drawing/2014/main" id="{5A2FA539-9A4B-26D8-95C6-8D8CF09E9AEE}"/>
            </a:ext>
          </a:extLst>
        </xdr:cNvPr>
        <xdr:cNvSpPr txBox="1"/>
      </xdr:nvSpPr>
      <xdr:spPr>
        <a:xfrm>
          <a:off x="5934075" y="533400"/>
          <a:ext cx="5486400" cy="2295525"/>
        </a:xfrm>
        <a:prstGeom prst="rect">
          <a:avLst/>
        </a:prstGeom>
        <a:solidFill>
          <a:schemeClr val="accent1">
            <a:lumMod val="40000"/>
            <a:lumOff val="60000"/>
          </a:schemeClr>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0" i="0" u="none" strike="noStrike">
              <a:solidFill>
                <a:srgbClr val="000000"/>
              </a:solidFill>
              <a:latin typeface="Calibri" panose="020F0502020204030204" pitchFamily="34" charset="0"/>
              <a:cs typeface="Calibri" panose="020F0502020204030204" pitchFamily="34" charset="0"/>
            </a:rPr>
            <a:t>Opmerkingen</a:t>
          </a:r>
        </a:p>
        <a:p>
          <a:pPr marL="0" indent="0" algn="l"/>
          <a:r>
            <a:rPr lang="en-US" sz="1100" b="0" i="0" u="none" strike="noStrike">
              <a:solidFill>
                <a:srgbClr val="000000"/>
              </a:solidFill>
              <a:latin typeface="Calibri" panose="020F0502020204030204" pitchFamily="34" charset="0"/>
              <a:cs typeface="Calibri" panose="020F0502020204030204" pitchFamily="34" charset="0"/>
            </a:rPr>
            <a:t>1) L4 ste bevat cilindrische correctie (ook voor lange termijn), g-functie dus niet hetzelfde op lange termijn als L4. </a:t>
          </a:r>
        </a:p>
        <a:p>
          <a:pPr marL="0" indent="0" algn="l"/>
          <a:r>
            <a:rPr lang="en-US" sz="1100" b="0" i="0" u="none" strike="noStrike">
              <a:solidFill>
                <a:srgbClr val="000000"/>
              </a:solidFill>
              <a:latin typeface="Calibri" panose="020F0502020204030204" pitchFamily="34" charset="0"/>
              <a:cs typeface="Calibri" panose="020F0502020204030204" pitchFamily="34" charset="0"/>
            </a:rPr>
            <a:t>2) Resultaten voor Lmod (case 2) momenteel obv gradient model. Deze verondersteld verschillende Tb en neemt dan gemiddelde? Dit gaat in tegen de definite van g-functie (constante boorgatwandtemperatuur), reproduceer resultaten met constant grondtemepratuur model met update obv GHEtool</a:t>
          </a:r>
        </a:p>
        <a:p>
          <a:pPr marL="0" indent="0" algn="l"/>
          <a:r>
            <a:rPr lang="en-US" sz="1100" b="0" i="0" u="none" strike="noStrike">
              <a:solidFill>
                <a:srgbClr val="000000"/>
              </a:solidFill>
              <a:latin typeface="Calibri" panose="020F0502020204030204" pitchFamily="34" charset="0"/>
              <a:cs typeface="Calibri" panose="020F0502020204030204" pitchFamily="34" charset="0"/>
            </a:rPr>
            <a:t>3) Hoe lost GHEtool het probleem in 2) eigenlijk op?</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685800</xdr:colOff>
      <xdr:row>1</xdr:row>
      <xdr:rowOff>76200</xdr:rowOff>
    </xdr:from>
    <xdr:to>
      <xdr:col>17</xdr:col>
      <xdr:colOff>495300</xdr:colOff>
      <xdr:row>7</xdr:row>
      <xdr:rowOff>99060</xdr:rowOff>
    </xdr:to>
    <xdr:sp macro="" textlink="">
      <xdr:nvSpPr>
        <xdr:cNvPr id="2" name="TextBox 1">
          <a:extLst>
            <a:ext uri="{FF2B5EF4-FFF2-40B4-BE49-F238E27FC236}">
              <a16:creationId xmlns:a16="http://schemas.microsoft.com/office/drawing/2014/main" id="{A6DA7BD6-0378-5355-289A-323C9575737C}"/>
            </a:ext>
          </a:extLst>
        </xdr:cNvPr>
        <xdr:cNvSpPr txBox="1"/>
      </xdr:nvSpPr>
      <xdr:spPr>
        <a:xfrm>
          <a:off x="8115300" y="266700"/>
          <a:ext cx="5166360" cy="115062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Necessary</a:t>
          </a:r>
          <a:r>
            <a:rPr lang="en-US" sz="1100" baseline="0"/>
            <a:t> sizing time gives misleading values</a:t>
          </a:r>
        </a:p>
        <a:p>
          <a:r>
            <a:rPr lang="en-US" sz="1100" baseline="0"/>
            <a:t>Initial guess determines number of iteration needed to size borefield. When initial guess is closer to final value, total number of needed iteriation can be smaller. Therefore the sizing time for short-term method can be lower than for the standard L4 method. Initial guess for al options was 100m</a:t>
          </a:r>
          <a:endParaRPr lang="en-BE" sz="1100"/>
        </a:p>
      </xdr:txBody>
    </xdr:sp>
    <xdr:clientData/>
  </xdr:twoCellAnchor>
</xdr:wsDr>
</file>

<file path=xl/persons/person.xml><?xml version="1.0" encoding="utf-8"?>
<personList xmlns="http://schemas.microsoft.com/office/spreadsheetml/2018/threadedcomments" xmlns:x="http://schemas.openxmlformats.org/spreadsheetml/2006/main">
  <person displayName="Lone Meertens" id="{5AEF3CBA-AC04-47AF-AA67-1AC6920ED0F5}" userId="S::lone.meertens@kuleuven.be::e3cb755d-0715-4b64-873b-7e6884f68fb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0" dT="2024-07-07T06:32:02.47" personId="{5AEF3CBA-AC04-47AF-AA67-1AC6920ED0F5}" id="{849C6A60-C145-48F5-A612-D616B829090F}">
    <text>Adapt for Journal paper, wrong in conference paper</text>
  </threadedComment>
  <threadedComment ref="B23" dT="2024-07-07T06:32:38.87" personId="{5AEF3CBA-AC04-47AF-AA67-1AC6920ED0F5}" id="{48975FC8-3E6C-469D-8055-608309B59916}">
    <text>Add this in journal paper, only used in GHEtool L4 ste (not in modelica)</text>
  </threadedComment>
</ThreadedComments>
</file>

<file path=xl/threadedComments/threadedComment2.xml><?xml version="1.0" encoding="utf-8"?>
<ThreadedComments xmlns="http://schemas.microsoft.com/office/spreadsheetml/2018/threadedcomments" xmlns:x="http://schemas.openxmlformats.org/spreadsheetml/2006/main">
  <threadedComment ref="AA2" dT="2024-07-05T10:41:08.75" personId="{5AEF3CBA-AC04-47AF-AA67-1AC6920ED0F5}" id="{AB529D0D-DA8A-46C8-B5A3-C1A42F330BCE}">
    <text xml:space="preserve">Wrong results, using AntiFreeze instead of water as HTF in boreholes. How can this big difference be explained??
</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F05B-4129-4C97-9F7D-1909F11D0E17}">
  <dimension ref="A2:A11"/>
  <sheetViews>
    <sheetView topLeftCell="A2" workbookViewId="0">
      <selection activeCell="A2" sqref="A2"/>
    </sheetView>
  </sheetViews>
  <sheetFormatPr defaultRowHeight="15"/>
  <cols>
    <col min="1" max="1" width="171.5703125" customWidth="1"/>
    <col min="2" max="2" width="14.42578125" customWidth="1"/>
  </cols>
  <sheetData>
    <row r="2" spans="1:1" ht="256.5" customHeight="1">
      <c r="A2" s="171" t="s">
        <v>0</v>
      </c>
    </row>
    <row r="5" spans="1:1">
      <c r="A5" s="170" t="s">
        <v>1</v>
      </c>
    </row>
    <row r="6" spans="1:1">
      <c r="A6" t="s">
        <v>2</v>
      </c>
    </row>
    <row r="7" spans="1:1" ht="45.75">
      <c r="A7" s="90" t="s">
        <v>3</v>
      </c>
    </row>
    <row r="8" spans="1:1">
      <c r="A8" s="90" t="s">
        <v>4</v>
      </c>
    </row>
    <row r="9" spans="1:1">
      <c r="A9" t="s">
        <v>5</v>
      </c>
    </row>
    <row r="11" spans="1:1" ht="30.75">
      <c r="A11" s="90"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3191E-3939-4283-8B50-B1DE03F771C3}">
  <dimension ref="A1:I34"/>
  <sheetViews>
    <sheetView workbookViewId="0">
      <selection activeCell="B19" sqref="B19"/>
    </sheetView>
  </sheetViews>
  <sheetFormatPr defaultRowHeight="14.45"/>
  <cols>
    <col min="1" max="1" width="25.7109375" customWidth="1"/>
    <col min="7" max="9" width="16.28515625" customWidth="1"/>
  </cols>
  <sheetData>
    <row r="1" spans="1:9" ht="18.75" customHeight="1">
      <c r="A1" s="172" t="s">
        <v>7</v>
      </c>
      <c r="B1" s="173"/>
      <c r="C1" s="174"/>
      <c r="E1" s="172" t="s">
        <v>8</v>
      </c>
      <c r="F1" s="181"/>
      <c r="G1" s="181"/>
      <c r="H1" s="181"/>
      <c r="I1" s="182"/>
    </row>
    <row r="2" spans="1:9" ht="15">
      <c r="A2" s="159" t="s">
        <v>9</v>
      </c>
      <c r="B2" s="162" t="s">
        <v>10</v>
      </c>
      <c r="C2" s="160" t="s">
        <v>11</v>
      </c>
      <c r="E2" s="164"/>
      <c r="F2" s="165"/>
      <c r="G2" s="165" t="s">
        <v>12</v>
      </c>
      <c r="H2" s="165" t="s">
        <v>13</v>
      </c>
      <c r="I2" s="166" t="s">
        <v>14</v>
      </c>
    </row>
    <row r="3" spans="1:9" ht="15">
      <c r="A3" s="157" t="s">
        <v>15</v>
      </c>
      <c r="B3" s="157">
        <v>75</v>
      </c>
      <c r="C3" s="156" t="s">
        <v>16</v>
      </c>
      <c r="E3" s="183" t="s">
        <v>17</v>
      </c>
      <c r="F3" s="56" t="s">
        <v>18</v>
      </c>
      <c r="G3" s="56">
        <v>38.299999999999997</v>
      </c>
      <c r="H3" s="56">
        <v>117.6</v>
      </c>
      <c r="I3" s="163">
        <v>1965</v>
      </c>
    </row>
    <row r="4" spans="1:9" ht="15">
      <c r="A4" s="158" t="s">
        <v>19</v>
      </c>
      <c r="B4" s="158">
        <v>4</v>
      </c>
      <c r="C4" s="75" t="s">
        <v>20</v>
      </c>
      <c r="E4" s="183"/>
      <c r="F4" s="56" t="s">
        <v>21</v>
      </c>
      <c r="G4" s="56">
        <v>3.86</v>
      </c>
      <c r="H4" s="56">
        <v>118.3</v>
      </c>
      <c r="I4" s="75">
        <v>41.89</v>
      </c>
    </row>
    <row r="5" spans="1:9" ht="15">
      <c r="A5" s="158" t="s">
        <v>22</v>
      </c>
      <c r="B5" s="158">
        <v>6</v>
      </c>
      <c r="C5" s="75" t="s">
        <v>20</v>
      </c>
      <c r="E5" s="183" t="s">
        <v>23</v>
      </c>
      <c r="F5" s="56" t="s">
        <v>18</v>
      </c>
      <c r="G5" s="56">
        <v>32</v>
      </c>
      <c r="H5" s="56">
        <v>214</v>
      </c>
      <c r="I5" s="75">
        <v>540</v>
      </c>
    </row>
    <row r="6" spans="1:9" ht="15">
      <c r="A6" s="158" t="s">
        <v>24</v>
      </c>
      <c r="B6" s="158">
        <v>15</v>
      </c>
      <c r="C6" s="75" t="s">
        <v>16</v>
      </c>
      <c r="E6" s="184"/>
      <c r="F6" s="17" t="s">
        <v>21</v>
      </c>
      <c r="G6" s="17">
        <v>90</v>
      </c>
      <c r="H6" s="17">
        <v>371</v>
      </c>
      <c r="I6" s="18">
        <v>106</v>
      </c>
    </row>
    <row r="7" spans="1:9" ht="15">
      <c r="A7" s="158" t="s">
        <v>25</v>
      </c>
      <c r="B7" s="158">
        <v>50</v>
      </c>
      <c r="C7" s="75" t="s">
        <v>16</v>
      </c>
    </row>
    <row r="8" spans="1:9" ht="15">
      <c r="A8" s="158" t="s">
        <v>26</v>
      </c>
      <c r="B8" s="158">
        <v>20</v>
      </c>
      <c r="C8" s="75" t="s">
        <v>16</v>
      </c>
    </row>
    <row r="9" spans="1:9" ht="15">
      <c r="A9" s="158" t="s">
        <v>27</v>
      </c>
      <c r="B9" s="158">
        <v>3</v>
      </c>
      <c r="C9" s="75" t="s">
        <v>28</v>
      </c>
    </row>
    <row r="10" spans="1:9" ht="15">
      <c r="A10" s="158" t="s">
        <v>29</v>
      </c>
      <c r="B10" s="158">
        <v>2.4</v>
      </c>
      <c r="C10" s="75" t="s">
        <v>30</v>
      </c>
    </row>
    <row r="11" spans="1:9" ht="15">
      <c r="A11" s="158" t="s">
        <v>31</v>
      </c>
      <c r="B11" s="158">
        <v>10</v>
      </c>
      <c r="C11" s="75" t="s">
        <v>32</v>
      </c>
    </row>
    <row r="12" spans="1:9" ht="15">
      <c r="A12" s="158" t="s">
        <v>33</v>
      </c>
      <c r="B12" s="158" t="s">
        <v>34</v>
      </c>
      <c r="C12" s="75" t="s">
        <v>35</v>
      </c>
    </row>
    <row r="13" spans="1:9" ht="15">
      <c r="A13" s="167" t="s">
        <v>36</v>
      </c>
      <c r="B13" s="158">
        <v>0</v>
      </c>
      <c r="C13" s="75" t="s">
        <v>35</v>
      </c>
    </row>
    <row r="14" spans="1:9" ht="15">
      <c r="A14" s="167" t="s">
        <v>37</v>
      </c>
      <c r="B14" s="158">
        <v>0.03</v>
      </c>
      <c r="C14" s="75" t="s">
        <v>35</v>
      </c>
    </row>
    <row r="15" spans="1:9" ht="15">
      <c r="A15" s="167" t="s">
        <v>38</v>
      </c>
      <c r="B15" s="158">
        <v>0.06</v>
      </c>
      <c r="C15" s="75" t="s">
        <v>35</v>
      </c>
    </row>
    <row r="16" spans="1:9" ht="15">
      <c r="A16" s="158" t="s">
        <v>39</v>
      </c>
      <c r="B16" s="158">
        <v>1238</v>
      </c>
      <c r="C16" s="75" t="s">
        <v>40</v>
      </c>
    </row>
    <row r="17" spans="1:3" ht="15">
      <c r="A17" s="158" t="s">
        <v>41</v>
      </c>
      <c r="B17" s="158">
        <v>1940</v>
      </c>
      <c r="C17" s="75" t="s">
        <v>42</v>
      </c>
    </row>
    <row r="18" spans="1:3" ht="15">
      <c r="A18" s="158" t="s">
        <v>43</v>
      </c>
      <c r="B18" s="158">
        <v>1</v>
      </c>
      <c r="C18" s="75" t="s">
        <v>28</v>
      </c>
    </row>
    <row r="19" spans="1:3" ht="15">
      <c r="A19" s="158" t="s">
        <v>44</v>
      </c>
      <c r="B19" s="158">
        <v>3.9</v>
      </c>
      <c r="C19" s="75" t="s">
        <v>30</v>
      </c>
    </row>
    <row r="20" spans="1:3" ht="15">
      <c r="A20" s="158" t="s">
        <v>45</v>
      </c>
      <c r="B20" s="168">
        <v>1925</v>
      </c>
      <c r="C20" s="75" t="s">
        <v>40</v>
      </c>
    </row>
    <row r="21" spans="1:3" ht="15">
      <c r="A21" s="158" t="s">
        <v>46</v>
      </c>
      <c r="B21" s="168">
        <v>2026</v>
      </c>
      <c r="C21" s="75" t="s">
        <v>42</v>
      </c>
    </row>
    <row r="22" spans="1:3" ht="15">
      <c r="A22" s="158" t="s">
        <v>47</v>
      </c>
      <c r="B22" s="158">
        <v>0.4</v>
      </c>
      <c r="C22" s="75" t="s">
        <v>48</v>
      </c>
    </row>
    <row r="23" spans="1:3" ht="15">
      <c r="A23" s="161" t="s">
        <v>49</v>
      </c>
      <c r="B23" s="169">
        <v>1.54</v>
      </c>
      <c r="C23" s="75" t="s">
        <v>30</v>
      </c>
    </row>
    <row r="24" spans="1:3" ht="15">
      <c r="A24" s="161" t="s">
        <v>50</v>
      </c>
      <c r="B24" s="175" t="s">
        <v>51</v>
      </c>
      <c r="C24" s="176"/>
    </row>
    <row r="25" spans="1:3" ht="15">
      <c r="A25" s="177" t="s">
        <v>52</v>
      </c>
      <c r="B25" s="178"/>
      <c r="C25" s="176"/>
    </row>
    <row r="26" spans="1:3" ht="15">
      <c r="A26" s="154" t="s">
        <v>53</v>
      </c>
      <c r="B26" s="155" t="s">
        <v>54</v>
      </c>
      <c r="C26" s="156"/>
    </row>
    <row r="27" spans="1:3" ht="15">
      <c r="A27" s="27" t="s">
        <v>55</v>
      </c>
      <c r="B27" s="28">
        <v>4</v>
      </c>
      <c r="C27" s="29" t="s">
        <v>56</v>
      </c>
    </row>
    <row r="28" spans="1:3" ht="15">
      <c r="A28" s="177" t="s">
        <v>57</v>
      </c>
      <c r="B28" s="179"/>
      <c r="C28" s="180"/>
    </row>
    <row r="29" spans="1:3" ht="15">
      <c r="A29" s="154" t="s">
        <v>53</v>
      </c>
      <c r="B29" s="155" t="s">
        <v>58</v>
      </c>
      <c r="C29" s="156"/>
    </row>
    <row r="30" spans="1:3" ht="15">
      <c r="A30" s="27" t="s">
        <v>55</v>
      </c>
      <c r="B30" s="28">
        <v>20</v>
      </c>
      <c r="C30" s="29" t="s">
        <v>56</v>
      </c>
    </row>
    <row r="31" spans="1:3" ht="14.45" customHeight="1">
      <c r="A31" s="177" t="s">
        <v>59</v>
      </c>
      <c r="B31" s="179"/>
      <c r="C31" s="180"/>
    </row>
    <row r="32" spans="1:3" ht="15">
      <c r="A32" s="154" t="s">
        <v>53</v>
      </c>
      <c r="B32" s="155" t="s">
        <v>60</v>
      </c>
      <c r="C32" s="156"/>
    </row>
    <row r="33" spans="1:3" ht="15">
      <c r="A33" s="16" t="s">
        <v>55</v>
      </c>
      <c r="B33" s="17">
        <v>60</v>
      </c>
      <c r="C33" s="18" t="s">
        <v>56</v>
      </c>
    </row>
    <row r="34" spans="1:3" ht="15"/>
  </sheetData>
  <mergeCells count="8">
    <mergeCell ref="E1:I1"/>
    <mergeCell ref="E3:E4"/>
    <mergeCell ref="E5:E6"/>
    <mergeCell ref="A1:C1"/>
    <mergeCell ref="B24:C24"/>
    <mergeCell ref="A25:C25"/>
    <mergeCell ref="A28:C28"/>
    <mergeCell ref="A31:C3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1A47D-79D8-448A-89F0-43A3BE94BC30}">
  <dimension ref="A3:G28"/>
  <sheetViews>
    <sheetView topLeftCell="A9" workbookViewId="0">
      <selection activeCell="P19" sqref="P19"/>
    </sheetView>
  </sheetViews>
  <sheetFormatPr defaultRowHeight="15"/>
  <cols>
    <col min="1" max="1" width="11.28515625" customWidth="1"/>
    <col min="5" max="6" width="9.28515625" bestFit="1" customWidth="1"/>
  </cols>
  <sheetData>
    <row r="3" spans="1:7">
      <c r="A3" s="191" t="s">
        <v>61</v>
      </c>
      <c r="B3" s="192"/>
      <c r="C3" s="193"/>
      <c r="D3" s="191" t="s">
        <v>62</v>
      </c>
      <c r="E3" s="193"/>
      <c r="F3" s="193"/>
      <c r="G3" s="194"/>
    </row>
    <row r="4" spans="1:7" ht="30.75">
      <c r="A4" s="39" t="s">
        <v>63</v>
      </c>
      <c r="B4" s="26" t="s">
        <v>64</v>
      </c>
      <c r="C4" t="s">
        <v>65</v>
      </c>
      <c r="D4" s="38" t="s">
        <v>66</v>
      </c>
      <c r="E4" s="34" t="s">
        <v>67</v>
      </c>
      <c r="F4" s="34" t="s">
        <v>68</v>
      </c>
      <c r="G4" s="37" t="s">
        <v>69</v>
      </c>
    </row>
    <row r="5" spans="1:7">
      <c r="A5" s="195" t="s">
        <v>12</v>
      </c>
      <c r="B5" s="185">
        <v>1</v>
      </c>
      <c r="C5" s="40" t="s">
        <v>70</v>
      </c>
      <c r="D5" s="22">
        <v>126.83</v>
      </c>
      <c r="E5" s="21">
        <v>0.14599999999999999</v>
      </c>
      <c r="F5" s="21">
        <v>10</v>
      </c>
      <c r="G5" s="23">
        <v>1.78</v>
      </c>
    </row>
    <row r="6" spans="1:7">
      <c r="A6" s="196"/>
      <c r="B6" s="186"/>
      <c r="C6" s="41" t="s">
        <v>71</v>
      </c>
      <c r="D6" s="27">
        <v>99.15</v>
      </c>
      <c r="E6" s="28">
        <v>0.14199999999999999</v>
      </c>
      <c r="F6" s="28">
        <v>10</v>
      </c>
      <c r="G6" s="29">
        <v>1.36</v>
      </c>
    </row>
    <row r="7" spans="1:7">
      <c r="A7" s="196"/>
      <c r="B7" s="185">
        <v>2</v>
      </c>
      <c r="C7" s="40" t="s">
        <v>72</v>
      </c>
      <c r="D7" s="22">
        <v>143.99</v>
      </c>
      <c r="E7" s="21">
        <v>0.15</v>
      </c>
      <c r="F7" s="21">
        <v>10.719937</v>
      </c>
      <c r="G7" s="23">
        <v>2.1</v>
      </c>
    </row>
    <row r="8" spans="1:7">
      <c r="A8" s="196"/>
      <c r="B8" s="186"/>
      <c r="C8" s="41" t="s">
        <v>71</v>
      </c>
      <c r="D8" s="27">
        <v>107.93</v>
      </c>
      <c r="E8" s="28">
        <v>0.14299999999999999</v>
      </c>
      <c r="F8" s="28">
        <v>10.539662699999999</v>
      </c>
      <c r="G8" s="29">
        <v>3.72</v>
      </c>
    </row>
    <row r="9" spans="1:7">
      <c r="A9" s="196"/>
      <c r="B9" s="187">
        <v>3</v>
      </c>
      <c r="C9" s="40" t="s">
        <v>70</v>
      </c>
      <c r="D9" s="22">
        <v>184.27</v>
      </c>
      <c r="E9" s="21">
        <v>0.16</v>
      </c>
      <c r="F9" s="21">
        <v>11.84273636</v>
      </c>
      <c r="G9" s="23">
        <v>4.9400000000000004</v>
      </c>
    </row>
    <row r="10" spans="1:7">
      <c r="A10" s="196"/>
      <c r="B10" s="188"/>
      <c r="C10" s="42" t="s">
        <v>71</v>
      </c>
      <c r="D10" s="16">
        <v>121.36</v>
      </c>
      <c r="E10" s="17">
        <v>0.14499999999999999</v>
      </c>
      <c r="F10" s="17">
        <v>11.21362046</v>
      </c>
      <c r="G10" s="18">
        <v>5.21</v>
      </c>
    </row>
    <row r="11" spans="1:7">
      <c r="A11" s="196"/>
      <c r="B11" s="189">
        <v>4</v>
      </c>
      <c r="C11" s="44" t="s">
        <v>72</v>
      </c>
      <c r="D11" s="45"/>
      <c r="E11" s="46"/>
      <c r="F11" s="46"/>
      <c r="G11" s="47"/>
    </row>
    <row r="12" spans="1:7">
      <c r="A12" s="197"/>
      <c r="B12" s="190"/>
      <c r="C12" s="48" t="s">
        <v>71</v>
      </c>
      <c r="D12" s="49"/>
      <c r="E12" s="50"/>
      <c r="F12" s="50"/>
      <c r="G12" s="51"/>
    </row>
    <row r="13" spans="1:7">
      <c r="A13" s="195" t="s">
        <v>13</v>
      </c>
      <c r="B13" s="185">
        <v>1</v>
      </c>
      <c r="C13" s="40" t="s">
        <v>70</v>
      </c>
      <c r="D13" s="22">
        <v>134.93</v>
      </c>
      <c r="E13" s="21">
        <v>0.14799999999999999</v>
      </c>
      <c r="F13" s="21">
        <v>10</v>
      </c>
      <c r="G13" s="23">
        <v>2.5099999999999998</v>
      </c>
    </row>
    <row r="14" spans="1:7">
      <c r="A14" s="196"/>
      <c r="B14" s="186"/>
      <c r="C14" s="41" t="s">
        <v>71</v>
      </c>
      <c r="D14" s="27">
        <v>126.27</v>
      </c>
      <c r="E14" s="28">
        <v>0.14599999999999999</v>
      </c>
      <c r="F14" s="28">
        <v>10</v>
      </c>
      <c r="G14" s="29">
        <v>4.8499999999999996</v>
      </c>
    </row>
    <row r="15" spans="1:7">
      <c r="A15" s="196"/>
      <c r="B15" s="185">
        <v>2</v>
      </c>
      <c r="C15" s="40" t="s">
        <v>72</v>
      </c>
      <c r="D15" s="22">
        <v>155.02000000000001</v>
      </c>
      <c r="E15" s="21">
        <v>0.152</v>
      </c>
      <c r="F15" s="21">
        <v>10.775076</v>
      </c>
      <c r="G15" s="23">
        <v>15.9</v>
      </c>
    </row>
    <row r="16" spans="1:7">
      <c r="A16" s="196"/>
      <c r="B16" s="186"/>
      <c r="C16" s="41" t="s">
        <v>71</v>
      </c>
      <c r="D16" s="27">
        <v>142.63</v>
      </c>
      <c r="E16" s="28">
        <v>0.15</v>
      </c>
      <c r="F16" s="28">
        <v>10.7131729</v>
      </c>
      <c r="G16" s="29">
        <v>6.34</v>
      </c>
    </row>
    <row r="17" spans="1:7">
      <c r="A17" s="196"/>
      <c r="B17" s="187">
        <v>3</v>
      </c>
      <c r="C17" s="40" t="s">
        <v>70</v>
      </c>
      <c r="D17" s="22">
        <v>209.25</v>
      </c>
      <c r="E17" s="21">
        <v>0.16700000000000001</v>
      </c>
      <c r="F17" s="21">
        <v>12.09245849</v>
      </c>
      <c r="G17" s="23">
        <v>9.68</v>
      </c>
    </row>
    <row r="18" spans="1:7">
      <c r="A18" s="196"/>
      <c r="B18" s="188"/>
      <c r="C18" s="41" t="s">
        <v>71</v>
      </c>
      <c r="D18" s="16">
        <v>176.06</v>
      </c>
      <c r="E18" s="17">
        <v>0.157</v>
      </c>
      <c r="F18" s="17">
        <v>11.760642000000001</v>
      </c>
      <c r="G18" s="18">
        <v>12.46</v>
      </c>
    </row>
    <row r="19" spans="1:7">
      <c r="A19" s="196"/>
      <c r="B19" s="189">
        <v>4</v>
      </c>
      <c r="C19" s="44" t="s">
        <v>70</v>
      </c>
      <c r="D19" s="45"/>
      <c r="E19" s="46"/>
      <c r="F19" s="46"/>
      <c r="G19" s="47"/>
    </row>
    <row r="20" spans="1:7">
      <c r="A20" s="197"/>
      <c r="B20" s="190"/>
      <c r="C20" s="52" t="s">
        <v>71</v>
      </c>
      <c r="D20" s="49"/>
      <c r="E20" s="50"/>
      <c r="F20" s="50"/>
      <c r="G20" s="51"/>
    </row>
    <row r="21" spans="1:7">
      <c r="A21" s="195" t="s">
        <v>14</v>
      </c>
      <c r="B21" s="185">
        <v>1</v>
      </c>
      <c r="C21" s="40" t="s">
        <v>70</v>
      </c>
      <c r="D21" s="22">
        <v>349.46</v>
      </c>
      <c r="E21" s="21">
        <v>0.219</v>
      </c>
      <c r="F21" s="21">
        <v>10</v>
      </c>
      <c r="G21" s="23">
        <v>4.68</v>
      </c>
    </row>
    <row r="22" spans="1:7">
      <c r="A22" s="196"/>
      <c r="B22" s="186"/>
      <c r="C22" s="41" t="s">
        <v>71</v>
      </c>
      <c r="D22" s="27">
        <v>347.27</v>
      </c>
      <c r="E22" s="28">
        <v>0.218</v>
      </c>
      <c r="F22" s="28">
        <v>10</v>
      </c>
      <c r="G22" s="29">
        <v>31.19</v>
      </c>
    </row>
    <row r="23" spans="1:7">
      <c r="A23" s="196"/>
      <c r="B23" s="185">
        <v>2</v>
      </c>
      <c r="C23" s="40" t="s">
        <v>70</v>
      </c>
      <c r="D23" s="22">
        <v>277.85000000000002</v>
      </c>
      <c r="E23" s="21">
        <v>0.19</v>
      </c>
      <c r="F23" s="21">
        <v>11.389241</v>
      </c>
      <c r="G23" s="23">
        <v>4.41</v>
      </c>
    </row>
    <row r="24" spans="1:7">
      <c r="A24" s="196"/>
      <c r="B24" s="186"/>
      <c r="C24" s="41" t="s">
        <v>71</v>
      </c>
      <c r="D24" s="27">
        <v>275.87</v>
      </c>
      <c r="E24" s="28">
        <v>0.189</v>
      </c>
      <c r="F24" s="28">
        <v>11.379370400000001</v>
      </c>
      <c r="G24" s="29">
        <v>17.37</v>
      </c>
    </row>
    <row r="25" spans="1:7">
      <c r="A25" s="196"/>
      <c r="B25" s="185">
        <v>3</v>
      </c>
      <c r="C25" s="43" t="s">
        <v>70</v>
      </c>
      <c r="D25" s="35">
        <v>240.57</v>
      </c>
      <c r="E25" s="21">
        <v>0.17699999999999999</v>
      </c>
      <c r="F25" s="21">
        <v>12.4056924925</v>
      </c>
      <c r="G25" s="23">
        <v>3.32</v>
      </c>
    </row>
    <row r="26" spans="1:7">
      <c r="A26" s="196"/>
      <c r="B26" s="198"/>
      <c r="C26" s="55" t="s">
        <v>71</v>
      </c>
      <c r="D26" s="36">
        <v>239.86</v>
      </c>
      <c r="E26" s="28">
        <v>0.17599999999999999</v>
      </c>
      <c r="F26" s="28">
        <v>12.3985936</v>
      </c>
      <c r="G26" s="29">
        <v>10.74</v>
      </c>
    </row>
    <row r="27" spans="1:7">
      <c r="A27" s="196"/>
      <c r="B27" s="199">
        <v>4</v>
      </c>
      <c r="C27" s="53" t="s">
        <v>70</v>
      </c>
      <c r="D27" s="22">
        <v>215.14</v>
      </c>
      <c r="E27" s="21">
        <v>0.16900000000000001</v>
      </c>
      <c r="F27" s="21">
        <v>13.227025360000001</v>
      </c>
      <c r="G27" s="23">
        <v>6.46</v>
      </c>
    </row>
    <row r="28" spans="1:7">
      <c r="A28" s="197"/>
      <c r="B28" s="200"/>
      <c r="C28" s="54" t="s">
        <v>71</v>
      </c>
      <c r="D28" s="16">
        <v>214.62</v>
      </c>
      <c r="E28" s="17">
        <v>0.16800000000000001</v>
      </c>
      <c r="F28" s="17">
        <v>13.219237059999999</v>
      </c>
      <c r="G28" s="18">
        <v>6.46</v>
      </c>
    </row>
  </sheetData>
  <mergeCells count="17">
    <mergeCell ref="A21:A28"/>
    <mergeCell ref="B21:B22"/>
    <mergeCell ref="B23:B24"/>
    <mergeCell ref="B25:B26"/>
    <mergeCell ref="B27:B28"/>
    <mergeCell ref="B15:B16"/>
    <mergeCell ref="B17:B18"/>
    <mergeCell ref="B19:B20"/>
    <mergeCell ref="A3:C3"/>
    <mergeCell ref="D3:G3"/>
    <mergeCell ref="A5:A12"/>
    <mergeCell ref="B5:B6"/>
    <mergeCell ref="B7:B8"/>
    <mergeCell ref="B9:B10"/>
    <mergeCell ref="B11:B12"/>
    <mergeCell ref="A13:A20"/>
    <mergeCell ref="B13:B14"/>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E4A1-8053-4F13-8590-66E120D979F4}">
  <dimension ref="A2:AE24"/>
  <sheetViews>
    <sheetView tabSelected="1" workbookViewId="0">
      <selection activeCell="Z10" sqref="Z10"/>
    </sheetView>
  </sheetViews>
  <sheetFormatPr defaultRowHeight="15"/>
  <cols>
    <col min="1" max="1" width="14.140625" style="30" customWidth="1"/>
    <col min="11" max="11" width="9.28515625" style="30" bestFit="1" customWidth="1"/>
    <col min="13" max="13" width="9.28515625" bestFit="1" customWidth="1"/>
    <col min="14" max="14" width="9.140625" style="32"/>
  </cols>
  <sheetData>
    <row r="2" spans="1:31">
      <c r="A2" s="203" t="s">
        <v>61</v>
      </c>
      <c r="B2" s="192"/>
      <c r="C2" s="192"/>
      <c r="D2" s="192"/>
      <c r="E2" s="192"/>
      <c r="F2" s="192"/>
      <c r="G2" s="192"/>
      <c r="H2" s="192"/>
      <c r="I2" s="192"/>
      <c r="J2" s="192"/>
      <c r="K2" s="203" t="s">
        <v>62</v>
      </c>
      <c r="L2" s="192"/>
      <c r="M2" s="192"/>
      <c r="N2" s="192"/>
      <c r="O2" s="204"/>
      <c r="AA2" s="201"/>
      <c r="AB2" s="201"/>
      <c r="AC2" s="201"/>
      <c r="AD2" s="201"/>
      <c r="AE2" s="201"/>
    </row>
    <row r="3" spans="1:31" ht="60.75">
      <c r="A3" s="61" t="s">
        <v>63</v>
      </c>
      <c r="B3" s="62" t="s">
        <v>73</v>
      </c>
      <c r="C3" s="58" t="s">
        <v>74</v>
      </c>
      <c r="D3" s="24" t="s">
        <v>75</v>
      </c>
      <c r="E3" s="24" t="s">
        <v>76</v>
      </c>
      <c r="F3" s="24" t="s">
        <v>77</v>
      </c>
      <c r="G3" s="24" t="s">
        <v>78</v>
      </c>
      <c r="H3" s="59" t="s">
        <v>79</v>
      </c>
      <c r="I3" s="24" t="s">
        <v>80</v>
      </c>
      <c r="J3" s="60" t="s">
        <v>81</v>
      </c>
      <c r="K3" s="31" t="s">
        <v>66</v>
      </c>
      <c r="L3" s="24" t="s">
        <v>82</v>
      </c>
      <c r="M3" s="24" t="s">
        <v>83</v>
      </c>
      <c r="N3" s="33" t="s">
        <v>84</v>
      </c>
      <c r="O3" s="25" t="s">
        <v>85</v>
      </c>
      <c r="AA3" s="89"/>
      <c r="AB3" s="90"/>
      <c r="AC3" s="90"/>
      <c r="AD3" s="91"/>
      <c r="AE3" s="90"/>
    </row>
    <row r="4" spans="1:31">
      <c r="A4" s="202" t="s">
        <v>12</v>
      </c>
      <c r="B4" s="205">
        <v>1</v>
      </c>
      <c r="C4" s="93">
        <v>100</v>
      </c>
      <c r="D4" s="78">
        <v>3</v>
      </c>
      <c r="E4" s="78">
        <v>17</v>
      </c>
      <c r="F4" s="78">
        <v>10</v>
      </c>
      <c r="G4" s="78">
        <v>20</v>
      </c>
      <c r="H4" s="94" t="s">
        <v>86</v>
      </c>
      <c r="I4" s="78" t="s">
        <v>87</v>
      </c>
      <c r="J4" s="94">
        <v>15</v>
      </c>
      <c r="K4" s="95">
        <v>88.366600000000005</v>
      </c>
      <c r="L4" s="96">
        <v>5.8853087999999998</v>
      </c>
      <c r="M4" s="96">
        <v>16.999658199999999</v>
      </c>
      <c r="N4" s="97">
        <v>4</v>
      </c>
      <c r="O4" s="98">
        <f>405.6189/60</f>
        <v>6.7603150000000003</v>
      </c>
      <c r="AA4" s="71"/>
      <c r="AB4" s="72"/>
      <c r="AC4" s="72"/>
      <c r="AD4" s="32"/>
      <c r="AE4" s="72"/>
    </row>
    <row r="5" spans="1:31">
      <c r="A5" s="202"/>
      <c r="B5" s="206"/>
      <c r="C5" s="116">
        <v>150</v>
      </c>
      <c r="D5" s="107">
        <v>3</v>
      </c>
      <c r="E5" s="107">
        <v>17</v>
      </c>
      <c r="F5" s="107">
        <v>10</v>
      </c>
      <c r="G5" s="107">
        <v>20</v>
      </c>
      <c r="H5" s="108" t="s">
        <v>86</v>
      </c>
      <c r="I5" s="107" t="s">
        <v>87</v>
      </c>
      <c r="J5" s="108">
        <v>15</v>
      </c>
      <c r="K5" s="109">
        <v>88.366049399999994</v>
      </c>
      <c r="L5" s="110">
        <v>5.8852783200000003</v>
      </c>
      <c r="M5" s="110">
        <v>16.999719200000001</v>
      </c>
      <c r="N5" s="111">
        <v>5</v>
      </c>
      <c r="O5" s="112">
        <f>489.534/60</f>
        <v>8.1588999999999992</v>
      </c>
      <c r="AA5" s="71"/>
      <c r="AB5" s="72"/>
      <c r="AC5" s="72"/>
      <c r="AD5" s="32"/>
      <c r="AE5" s="72"/>
    </row>
    <row r="6" spans="1:31">
      <c r="A6" s="202"/>
      <c r="B6" s="117">
        <v>2</v>
      </c>
      <c r="C6" s="105">
        <v>100</v>
      </c>
      <c r="D6" s="73">
        <v>3</v>
      </c>
      <c r="E6" s="73">
        <v>17</v>
      </c>
      <c r="F6" s="73" t="s">
        <v>88</v>
      </c>
      <c r="G6" s="73">
        <v>20</v>
      </c>
      <c r="H6" s="73" t="s">
        <v>86</v>
      </c>
      <c r="I6" s="73" t="s">
        <v>87</v>
      </c>
      <c r="J6" s="69">
        <v>15</v>
      </c>
      <c r="K6" s="118">
        <v>95.197855277000002</v>
      </c>
      <c r="L6" s="114">
        <v>6.5651488999999996</v>
      </c>
      <c r="M6" s="114">
        <v>16.999566600000001</v>
      </c>
      <c r="N6" s="115">
        <v>5</v>
      </c>
      <c r="O6" s="119">
        <f>490.115/60</f>
        <v>8.1685833333333342</v>
      </c>
      <c r="AA6" s="71"/>
      <c r="AB6" s="72"/>
      <c r="AC6" s="72"/>
      <c r="AD6" s="32"/>
      <c r="AE6" s="72"/>
    </row>
    <row r="7" spans="1:31">
      <c r="A7" s="202"/>
      <c r="B7" s="117">
        <v>3</v>
      </c>
      <c r="C7" s="105">
        <v>100</v>
      </c>
      <c r="D7" s="73">
        <v>3</v>
      </c>
      <c r="E7" s="73">
        <v>17</v>
      </c>
      <c r="F7" s="146" t="s">
        <v>88</v>
      </c>
      <c r="G7" s="73">
        <v>20</v>
      </c>
      <c r="H7" s="73" t="s">
        <v>86</v>
      </c>
      <c r="I7" s="73" t="s">
        <v>87</v>
      </c>
      <c r="J7" s="69">
        <v>15</v>
      </c>
      <c r="K7" s="118">
        <v>105.26284004999999</v>
      </c>
      <c r="L7" s="114">
        <v>7.4041380999999999</v>
      </c>
      <c r="M7" s="114">
        <v>17.001397699999998</v>
      </c>
      <c r="N7" s="115">
        <v>6</v>
      </c>
      <c r="O7" s="119">
        <f>558.621/60</f>
        <v>9.3103499999999997</v>
      </c>
      <c r="AA7" s="71"/>
      <c r="AB7" s="72"/>
      <c r="AC7" s="72"/>
      <c r="AD7" s="32"/>
      <c r="AE7" s="72"/>
    </row>
    <row r="8" spans="1:31">
      <c r="A8" s="202"/>
      <c r="B8" s="125">
        <v>4</v>
      </c>
      <c r="C8" s="126">
        <v>100</v>
      </c>
      <c r="D8" s="77">
        <v>3</v>
      </c>
      <c r="E8" s="77">
        <v>17</v>
      </c>
      <c r="F8" s="77" t="s">
        <v>89</v>
      </c>
      <c r="G8" s="77">
        <v>20</v>
      </c>
      <c r="H8" s="77" t="s">
        <v>86</v>
      </c>
      <c r="I8" s="77" t="s">
        <v>87</v>
      </c>
      <c r="J8" s="127">
        <v>15</v>
      </c>
      <c r="K8" s="128">
        <v>96.071537000000006</v>
      </c>
      <c r="L8" s="129">
        <v>6.6451049800000002</v>
      </c>
      <c r="M8" s="129">
        <v>16.999688720000002</v>
      </c>
      <c r="N8" s="130">
        <v>5</v>
      </c>
      <c r="O8" s="131">
        <f>481.8358/60</f>
        <v>8.0305966666666659</v>
      </c>
      <c r="AA8" s="71"/>
      <c r="AB8" s="72"/>
      <c r="AC8" s="72"/>
      <c r="AD8" s="32"/>
      <c r="AE8" s="72"/>
    </row>
    <row r="9" spans="1:31">
      <c r="A9" s="202"/>
      <c r="B9" s="140">
        <v>5</v>
      </c>
      <c r="C9" s="133">
        <v>100</v>
      </c>
      <c r="D9" s="134">
        <v>3</v>
      </c>
      <c r="E9" s="134">
        <v>17</v>
      </c>
      <c r="F9" s="134" t="s">
        <v>89</v>
      </c>
      <c r="G9" s="134">
        <v>20</v>
      </c>
      <c r="H9" s="135" t="s">
        <v>86</v>
      </c>
      <c r="I9" s="134" t="s">
        <v>87</v>
      </c>
      <c r="J9" s="135">
        <v>15</v>
      </c>
      <c r="K9" s="141">
        <v>107.9726431</v>
      </c>
      <c r="L9" s="142">
        <v>7.6015869</v>
      </c>
      <c r="M9" s="142">
        <v>17.000909400000001</v>
      </c>
      <c r="N9" s="143">
        <v>7</v>
      </c>
      <c r="O9" s="144">
        <f>649.81788/60</f>
        <v>10.830297999999999</v>
      </c>
      <c r="AA9" s="71"/>
      <c r="AB9" s="72"/>
      <c r="AC9" s="72"/>
      <c r="AD9" s="32"/>
      <c r="AE9" s="72"/>
    </row>
    <row r="10" spans="1:31">
      <c r="A10" s="199" t="s">
        <v>13</v>
      </c>
      <c r="B10" s="92">
        <v>1</v>
      </c>
      <c r="C10" s="106">
        <v>100</v>
      </c>
      <c r="D10" s="107">
        <v>3</v>
      </c>
      <c r="E10" s="107">
        <v>17</v>
      </c>
      <c r="F10" s="107">
        <v>10</v>
      </c>
      <c r="G10" s="107">
        <v>20</v>
      </c>
      <c r="H10" s="108" t="s">
        <v>86</v>
      </c>
      <c r="I10" s="107" t="s">
        <v>87</v>
      </c>
      <c r="J10" s="108">
        <v>15</v>
      </c>
      <c r="K10" s="121">
        <v>120.578000467</v>
      </c>
      <c r="L10" s="122">
        <v>8.1029907226500004</v>
      </c>
      <c r="M10" s="122">
        <v>17.00042114</v>
      </c>
      <c r="N10" s="123">
        <v>4</v>
      </c>
      <c r="O10" s="124">
        <f>534.62/60</f>
        <v>8.9103333333333339</v>
      </c>
      <c r="AA10" s="71"/>
      <c r="AB10" s="72"/>
      <c r="AC10" s="72"/>
      <c r="AD10" s="32"/>
      <c r="AE10" s="72"/>
    </row>
    <row r="11" spans="1:31">
      <c r="A11" s="202"/>
      <c r="B11" s="117">
        <v>2</v>
      </c>
      <c r="C11" s="105">
        <v>100</v>
      </c>
      <c r="D11" s="73">
        <v>3</v>
      </c>
      <c r="E11" s="73">
        <v>17</v>
      </c>
      <c r="F11" s="147" t="s">
        <v>88</v>
      </c>
      <c r="G11" s="73">
        <v>20</v>
      </c>
      <c r="H11" s="73" t="s">
        <v>86</v>
      </c>
      <c r="I11" s="73" t="s">
        <v>87</v>
      </c>
      <c r="J11" s="69">
        <v>15</v>
      </c>
      <c r="K11" s="118">
        <v>134.41813567</v>
      </c>
      <c r="L11" s="114">
        <v>8.8627559999999992</v>
      </c>
      <c r="M11" s="114">
        <v>17.000756800000001</v>
      </c>
      <c r="N11" s="115">
        <v>7</v>
      </c>
      <c r="O11" s="119">
        <f>849.771/60</f>
        <v>14.162849999999999</v>
      </c>
      <c r="AA11" s="71"/>
      <c r="AB11" s="72"/>
      <c r="AC11" s="72"/>
      <c r="AD11" s="32"/>
      <c r="AE11" s="72"/>
    </row>
    <row r="12" spans="1:31">
      <c r="A12" s="202"/>
      <c r="B12" s="120">
        <v>3</v>
      </c>
      <c r="C12" s="99">
        <v>100</v>
      </c>
      <c r="D12" s="100">
        <v>3</v>
      </c>
      <c r="E12" s="101">
        <v>17</v>
      </c>
      <c r="F12" s="149" t="s">
        <v>88</v>
      </c>
      <c r="G12" s="99">
        <v>20</v>
      </c>
      <c r="H12" s="100" t="s">
        <v>86</v>
      </c>
      <c r="I12" s="100" t="s">
        <v>87</v>
      </c>
      <c r="J12" s="101">
        <v>15</v>
      </c>
      <c r="K12" s="68">
        <v>160.10810699999999</v>
      </c>
      <c r="L12" s="102">
        <v>9.9069760000000002</v>
      </c>
      <c r="M12" s="102">
        <v>17.001519770000002</v>
      </c>
      <c r="N12" s="103">
        <v>12</v>
      </c>
      <c r="O12" s="104">
        <f>1364.3389/60</f>
        <v>22.738981666666668</v>
      </c>
      <c r="AA12" s="71"/>
      <c r="AB12" s="72"/>
      <c r="AC12" s="72"/>
      <c r="AD12" s="32"/>
      <c r="AE12" s="72"/>
    </row>
    <row r="13" spans="1:31">
      <c r="A13" s="202"/>
      <c r="B13" s="125">
        <v>4</v>
      </c>
      <c r="C13" s="126">
        <v>100</v>
      </c>
      <c r="D13" s="77">
        <v>3</v>
      </c>
      <c r="E13" s="77">
        <v>17</v>
      </c>
      <c r="F13" s="148" t="s">
        <v>89</v>
      </c>
      <c r="G13" s="77">
        <v>20</v>
      </c>
      <c r="H13" s="77" t="s">
        <v>86</v>
      </c>
      <c r="I13" s="77" t="s">
        <v>87</v>
      </c>
      <c r="J13" s="127">
        <v>15</v>
      </c>
      <c r="K13" s="128">
        <v>136.05743882100001</v>
      </c>
      <c r="L13" s="129">
        <v>8.942071533</v>
      </c>
      <c r="M13" s="129">
        <v>17.000421142570001</v>
      </c>
      <c r="N13" s="130">
        <v>7</v>
      </c>
      <c r="O13" s="131">
        <f>854.099/60</f>
        <v>14.234983333333334</v>
      </c>
      <c r="AA13" s="71"/>
      <c r="AB13" s="72"/>
      <c r="AC13" s="72"/>
      <c r="AD13" s="32"/>
      <c r="AE13" s="72"/>
    </row>
    <row r="14" spans="1:31">
      <c r="A14" s="200"/>
      <c r="B14" s="132">
        <v>5</v>
      </c>
      <c r="C14" s="133">
        <v>100</v>
      </c>
      <c r="D14" s="134">
        <v>3</v>
      </c>
      <c r="E14" s="134">
        <v>17</v>
      </c>
      <c r="F14" s="134" t="s">
        <v>89</v>
      </c>
      <c r="G14" s="134">
        <v>20</v>
      </c>
      <c r="H14" s="135" t="s">
        <v>86</v>
      </c>
      <c r="I14" s="134" t="s">
        <v>87</v>
      </c>
      <c r="J14" s="135">
        <v>15</v>
      </c>
      <c r="K14" s="136">
        <v>168.47231199999999</v>
      </c>
      <c r="L14" s="137">
        <v>10.172409999999999</v>
      </c>
      <c r="M14" s="137">
        <v>17.000299070000001</v>
      </c>
      <c r="N14" s="138">
        <v>15</v>
      </c>
      <c r="O14" s="139">
        <f>1699.134/60</f>
        <v>28.318899999999999</v>
      </c>
      <c r="AA14" s="71"/>
      <c r="AB14" s="72"/>
      <c r="AC14" s="72"/>
      <c r="AD14" s="32"/>
      <c r="AE14" s="72"/>
    </row>
    <row r="15" spans="1:31">
      <c r="A15" s="202" t="s">
        <v>14</v>
      </c>
      <c r="B15" s="113">
        <v>1</v>
      </c>
      <c r="C15" s="106">
        <v>100</v>
      </c>
      <c r="D15" s="107">
        <v>3</v>
      </c>
      <c r="E15" s="107">
        <v>17</v>
      </c>
      <c r="F15" s="107">
        <v>10</v>
      </c>
      <c r="G15" s="107">
        <v>20</v>
      </c>
      <c r="H15" s="108" t="s">
        <v>86</v>
      </c>
      <c r="I15" s="107" t="s">
        <v>87</v>
      </c>
      <c r="J15" s="108">
        <v>15</v>
      </c>
      <c r="K15" s="150">
        <v>336.57375999999999</v>
      </c>
      <c r="L15" s="151">
        <v>2.9998107900000002</v>
      </c>
      <c r="M15" s="151">
        <v>9.8781371999999994</v>
      </c>
      <c r="N15" s="152">
        <v>7</v>
      </c>
      <c r="O15" s="153">
        <f>1065.76/60</f>
        <v>17.762666666666668</v>
      </c>
      <c r="AA15" s="71"/>
      <c r="AB15" s="72"/>
      <c r="AC15" s="72"/>
      <c r="AD15" s="32"/>
      <c r="AE15" s="72"/>
    </row>
    <row r="16" spans="1:31">
      <c r="A16" s="202"/>
      <c r="B16" s="117">
        <v>2</v>
      </c>
      <c r="C16" s="105">
        <v>100</v>
      </c>
      <c r="D16" s="73">
        <v>3</v>
      </c>
      <c r="E16" s="69">
        <v>17</v>
      </c>
      <c r="F16" s="147" t="s">
        <v>88</v>
      </c>
      <c r="G16" s="105">
        <v>20</v>
      </c>
      <c r="H16" s="73" t="s">
        <v>86</v>
      </c>
      <c r="I16" s="73" t="s">
        <v>87</v>
      </c>
      <c r="J16" s="69">
        <v>15</v>
      </c>
      <c r="K16" s="118">
        <v>277.545728</v>
      </c>
      <c r="L16" s="114">
        <v>2.9998412999999999</v>
      </c>
      <c r="M16" s="114">
        <v>11.075462999999999</v>
      </c>
      <c r="N16" s="115">
        <v>5</v>
      </c>
      <c r="O16" s="119">
        <f>823.855/60</f>
        <v>13.730916666666667</v>
      </c>
      <c r="AA16" s="71"/>
      <c r="AB16" s="72"/>
      <c r="AC16" s="72"/>
      <c r="AD16" s="32"/>
      <c r="AE16" s="72"/>
    </row>
    <row r="17" spans="1:31">
      <c r="A17" s="202"/>
      <c r="B17" s="120">
        <v>3</v>
      </c>
      <c r="C17" s="99">
        <v>100</v>
      </c>
      <c r="D17" s="100">
        <v>3</v>
      </c>
      <c r="E17" s="101">
        <v>17</v>
      </c>
      <c r="F17" s="147" t="s">
        <v>88</v>
      </c>
      <c r="G17" s="99">
        <v>20</v>
      </c>
      <c r="H17" s="100" t="s">
        <v>86</v>
      </c>
      <c r="I17" s="100" t="s">
        <v>87</v>
      </c>
      <c r="J17" s="101">
        <v>15</v>
      </c>
      <c r="K17" s="68">
        <v>242.8044099</v>
      </c>
      <c r="L17" s="102">
        <v>3.0008178700000001</v>
      </c>
      <c r="M17" s="102">
        <v>12.0220886</v>
      </c>
      <c r="N17" s="103">
        <v>7</v>
      </c>
      <c r="O17" s="104">
        <f>1063.719/60</f>
        <v>17.728650000000002</v>
      </c>
      <c r="AA17" s="71"/>
      <c r="AB17" s="72"/>
      <c r="AC17" s="72"/>
      <c r="AD17" s="32"/>
      <c r="AE17" s="72"/>
    </row>
    <row r="18" spans="1:31">
      <c r="A18" s="202"/>
      <c r="B18" s="125">
        <v>4</v>
      </c>
      <c r="C18" s="126">
        <v>100</v>
      </c>
      <c r="D18" s="77">
        <v>3</v>
      </c>
      <c r="E18" s="77">
        <v>17</v>
      </c>
      <c r="F18" s="148" t="s">
        <v>89</v>
      </c>
      <c r="G18" s="77">
        <v>20</v>
      </c>
      <c r="H18" s="77" t="s">
        <v>86</v>
      </c>
      <c r="I18" s="77" t="s">
        <v>87</v>
      </c>
      <c r="J18" s="127">
        <v>15</v>
      </c>
      <c r="K18" s="128">
        <v>272.01112269999999</v>
      </c>
      <c r="L18" s="129">
        <v>2.9992919900000001</v>
      </c>
      <c r="M18" s="129">
        <v>11.238061500000001</v>
      </c>
      <c r="N18" s="130">
        <v>6</v>
      </c>
      <c r="O18" s="131">
        <f>925.8813/60</f>
        <v>15.431355</v>
      </c>
      <c r="AA18" s="71"/>
      <c r="AB18" s="72"/>
      <c r="AC18" s="72"/>
      <c r="AD18" s="32"/>
      <c r="AE18" s="72"/>
    </row>
    <row r="19" spans="1:31">
      <c r="A19" s="200"/>
      <c r="B19" s="132">
        <v>5</v>
      </c>
      <c r="C19" s="133">
        <v>100</v>
      </c>
      <c r="D19" s="134">
        <v>3</v>
      </c>
      <c r="E19" s="134">
        <v>17</v>
      </c>
      <c r="F19" s="134" t="s">
        <v>89</v>
      </c>
      <c r="G19" s="134">
        <v>20</v>
      </c>
      <c r="H19" s="135" t="s">
        <v>86</v>
      </c>
      <c r="I19" s="134" t="s">
        <v>87</v>
      </c>
      <c r="J19" s="135">
        <v>15</v>
      </c>
      <c r="K19" s="136">
        <v>236.62436</v>
      </c>
      <c r="L19" s="137">
        <v>2.99804</v>
      </c>
      <c r="M19" s="137">
        <v>12.244836400000001</v>
      </c>
      <c r="N19" s="138">
        <v>7</v>
      </c>
      <c r="O19" s="139">
        <f>1061.17264/60</f>
        <v>17.686210666666668</v>
      </c>
      <c r="AA19" s="71"/>
      <c r="AB19" s="72"/>
      <c r="AC19" s="72"/>
      <c r="AD19" s="32"/>
      <c r="AE19" s="72"/>
    </row>
    <row r="22" spans="1:31">
      <c r="B22" s="79"/>
      <c r="C22" t="s">
        <v>90</v>
      </c>
    </row>
    <row r="23" spans="1:31">
      <c r="B23" s="67"/>
      <c r="C23" t="s">
        <v>91</v>
      </c>
    </row>
    <row r="24" spans="1:31">
      <c r="B24" s="80"/>
      <c r="C24" t="s">
        <v>92</v>
      </c>
    </row>
  </sheetData>
  <mergeCells count="7">
    <mergeCell ref="AA2:AE2"/>
    <mergeCell ref="A4:A9"/>
    <mergeCell ref="A10:A14"/>
    <mergeCell ref="A15:A19"/>
    <mergeCell ref="A2:J2"/>
    <mergeCell ref="K2:O2"/>
    <mergeCell ref="B4:B5"/>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02609-C43C-495F-BE3F-041EED28965F}">
  <dimension ref="C5:I26"/>
  <sheetViews>
    <sheetView workbookViewId="0">
      <selection activeCell="I21" sqref="D17:I21"/>
    </sheetView>
  </sheetViews>
  <sheetFormatPr defaultRowHeight="15"/>
  <cols>
    <col min="2" max="2" width="2.5703125" customWidth="1"/>
    <col min="3" max="3" width="12.5703125" customWidth="1"/>
    <col min="7" max="7" width="9.28515625" bestFit="1" customWidth="1"/>
  </cols>
  <sheetData>
    <row r="5" spans="3:9" ht="60" customHeight="1">
      <c r="C5" s="207" t="s">
        <v>63</v>
      </c>
      <c r="D5" s="207" t="s">
        <v>93</v>
      </c>
      <c r="E5" s="210" t="s">
        <v>94</v>
      </c>
      <c r="F5" s="211"/>
      <c r="G5" s="212"/>
      <c r="H5" s="213" t="s">
        <v>95</v>
      </c>
      <c r="I5" s="214"/>
    </row>
    <row r="6" spans="3:9" ht="15" customHeight="1">
      <c r="C6" s="208"/>
      <c r="D6" s="208"/>
      <c r="E6" s="65" t="s">
        <v>70</v>
      </c>
      <c r="F6" s="64" t="s">
        <v>71</v>
      </c>
      <c r="G6" s="66" t="s">
        <v>96</v>
      </c>
      <c r="H6" s="63" t="s">
        <v>70</v>
      </c>
      <c r="I6" s="66" t="s">
        <v>71</v>
      </c>
    </row>
    <row r="7" spans="3:9" ht="15" customHeight="1">
      <c r="C7" s="207" t="s">
        <v>12</v>
      </c>
      <c r="D7" s="70">
        <v>1</v>
      </c>
      <c r="E7" s="22">
        <v>126.83</v>
      </c>
      <c r="F7" s="21">
        <v>99.15</v>
      </c>
      <c r="G7" s="81">
        <v>88.37</v>
      </c>
      <c r="H7" s="35">
        <f>($E7-$G7)/$G7 * 100</f>
        <v>43.521557089510004</v>
      </c>
      <c r="I7" s="23">
        <f>($F7-$G7)/$G7 * 100</f>
        <v>12.198709969446647</v>
      </c>
    </row>
    <row r="8" spans="3:9">
      <c r="C8" s="208"/>
      <c r="D8" s="86">
        <v>2</v>
      </c>
      <c r="E8" s="76">
        <v>143.99</v>
      </c>
      <c r="F8" s="56">
        <v>107.93</v>
      </c>
      <c r="G8" s="82">
        <v>95.197999999999993</v>
      </c>
      <c r="H8" s="88">
        <f>($E8-$G8)/$G8 * 100</f>
        <v>51.253177587764462</v>
      </c>
      <c r="I8" s="74">
        <f>($F8-$G8)/$G8 * 100</f>
        <v>13.374230551062013</v>
      </c>
    </row>
    <row r="9" spans="3:9">
      <c r="C9" s="208"/>
      <c r="D9" s="86">
        <v>3</v>
      </c>
      <c r="E9" s="76">
        <v>184.27</v>
      </c>
      <c r="F9" s="56">
        <v>121.36</v>
      </c>
      <c r="G9" s="82">
        <v>105.26</v>
      </c>
      <c r="H9" s="88">
        <f>($E9-$G9)/$G9 * 100</f>
        <v>75.061751852555574</v>
      </c>
      <c r="I9" s="74">
        <f>($F9-$G9)/$G9 * 100</f>
        <v>15.295458863765907</v>
      </c>
    </row>
    <row r="10" spans="3:9">
      <c r="C10" s="208"/>
      <c r="D10" s="86">
        <v>4</v>
      </c>
      <c r="E10" s="76">
        <v>143.99</v>
      </c>
      <c r="F10" s="56">
        <v>107.93</v>
      </c>
      <c r="G10" s="83">
        <v>96.07</v>
      </c>
      <c r="H10" s="88">
        <f>($E10-$G10)/$G10 * 100</f>
        <v>49.880295617778728</v>
      </c>
      <c r="I10" s="74">
        <f>($F10-$G10)/$G10 * 100</f>
        <v>12.345164983865946</v>
      </c>
    </row>
    <row r="11" spans="3:9">
      <c r="C11" s="208"/>
      <c r="D11" s="87">
        <v>5</v>
      </c>
      <c r="E11" s="76">
        <v>184.27</v>
      </c>
      <c r="F11" s="56">
        <v>121.36</v>
      </c>
      <c r="G11" s="84">
        <v>107.97</v>
      </c>
      <c r="H11" s="88">
        <f>($E11-$G11)/$G11 * 100</f>
        <v>70.667778086505521</v>
      </c>
      <c r="I11" s="74">
        <f>($F11-$G11)/$G11 * 100</f>
        <v>12.401593035102344</v>
      </c>
    </row>
    <row r="12" spans="3:9">
      <c r="C12" s="207" t="s">
        <v>13</v>
      </c>
      <c r="D12" s="70">
        <v>1</v>
      </c>
      <c r="E12" s="22">
        <v>134.93</v>
      </c>
      <c r="F12" s="21">
        <v>126.27</v>
      </c>
      <c r="G12" s="81">
        <v>120.58</v>
      </c>
      <c r="H12" s="35">
        <f>($E12-$G12)/$G12 * 100</f>
        <v>11.900812738430924</v>
      </c>
      <c r="I12" s="23">
        <f>($F12-$G12)/$G12 * 100</f>
        <v>4.7188588488969962</v>
      </c>
    </row>
    <row r="13" spans="3:9">
      <c r="C13" s="208"/>
      <c r="D13" s="86">
        <v>2</v>
      </c>
      <c r="E13" s="76">
        <v>155.02000000000001</v>
      </c>
      <c r="F13" s="56">
        <v>142.63</v>
      </c>
      <c r="G13" s="82">
        <v>134.41999999999999</v>
      </c>
      <c r="H13" s="19">
        <f>($E13-$G13)/$G13 * 100</f>
        <v>15.325100431483429</v>
      </c>
      <c r="I13" s="75">
        <f>($F13-$G13)/$G13 * 100</f>
        <v>6.1077220651688799</v>
      </c>
    </row>
    <row r="14" spans="3:9">
      <c r="C14" s="208"/>
      <c r="D14" s="86">
        <v>3</v>
      </c>
      <c r="E14" s="76">
        <v>209.25</v>
      </c>
      <c r="F14" s="56">
        <v>176.06</v>
      </c>
      <c r="G14" s="82">
        <v>160.11000000000001</v>
      </c>
      <c r="H14" s="19">
        <f>($E14-$G14)/$G14 * 100</f>
        <v>30.691399662731861</v>
      </c>
      <c r="I14" s="75">
        <f>($F14-$G14)/$G14 * 100</f>
        <v>9.9619011929298527</v>
      </c>
    </row>
    <row r="15" spans="3:9">
      <c r="C15" s="208"/>
      <c r="D15" s="86">
        <v>4</v>
      </c>
      <c r="E15" s="76">
        <v>155.02000000000001</v>
      </c>
      <c r="F15" s="56">
        <v>142.63</v>
      </c>
      <c r="G15" s="83">
        <v>136.06</v>
      </c>
      <c r="H15" s="19">
        <f>($E15-$G15)/$G15 * 100</f>
        <v>13.935028663824788</v>
      </c>
      <c r="I15" s="75">
        <f>($F15-$G15)/$G15 * 100</f>
        <v>4.8287520211671273</v>
      </c>
    </row>
    <row r="16" spans="3:9">
      <c r="C16" s="208"/>
      <c r="D16" s="87">
        <v>5</v>
      </c>
      <c r="E16" s="27">
        <v>209.25</v>
      </c>
      <c r="F16" s="28">
        <v>176.06</v>
      </c>
      <c r="G16" s="84">
        <v>168.47</v>
      </c>
      <c r="H16" s="36">
        <f>($E16-$G16)/$G16 * 100</f>
        <v>24.206090105063215</v>
      </c>
      <c r="I16" s="29">
        <f>($F16-$G16)/$G16 * 100</f>
        <v>4.5052531608001445</v>
      </c>
    </row>
    <row r="17" spans="3:9" ht="15" customHeight="1">
      <c r="C17" s="207" t="s">
        <v>14</v>
      </c>
      <c r="D17" s="70">
        <v>1</v>
      </c>
      <c r="E17" s="22">
        <v>349.46</v>
      </c>
      <c r="F17" s="21">
        <v>347.27</v>
      </c>
      <c r="G17" s="81">
        <v>336.57</v>
      </c>
      <c r="H17" s="35">
        <f>($E17-$G17)/$G17 * 100</f>
        <v>3.8298125204266529</v>
      </c>
      <c r="I17" s="23">
        <f>($F17-$G17)/$G17 * 100</f>
        <v>3.1791306414713101</v>
      </c>
    </row>
    <row r="18" spans="3:9">
      <c r="C18" s="208"/>
      <c r="D18" s="86">
        <v>2</v>
      </c>
      <c r="E18" s="76">
        <v>277.85000000000002</v>
      </c>
      <c r="F18" s="57">
        <v>275.87</v>
      </c>
      <c r="G18" s="82">
        <v>277.55</v>
      </c>
      <c r="H18" s="19">
        <f>($E18-$G18)/$G18 * 100</f>
        <v>0.10808863267880071</v>
      </c>
      <c r="I18" s="75">
        <f>($F18-$G18)/$G18 * 100</f>
        <v>-0.60529634300126345</v>
      </c>
    </row>
    <row r="19" spans="3:9">
      <c r="C19" s="208"/>
      <c r="D19" s="86">
        <v>3</v>
      </c>
      <c r="E19" s="76">
        <v>240.57</v>
      </c>
      <c r="F19" s="56">
        <v>239.86</v>
      </c>
      <c r="G19" s="82">
        <v>242.8</v>
      </c>
      <c r="H19" s="19">
        <f>($E19-$G19)/$G19 * 100</f>
        <v>-0.91845140032949679</v>
      </c>
      <c r="I19" s="75">
        <f>($F19-$G19)/$G19 * 100</f>
        <v>-1.2108731466227338</v>
      </c>
    </row>
    <row r="20" spans="3:9">
      <c r="C20" s="208"/>
      <c r="D20" s="86">
        <v>4</v>
      </c>
      <c r="E20" s="76">
        <v>277.85000000000002</v>
      </c>
      <c r="F20" s="57">
        <v>275.87</v>
      </c>
      <c r="G20" s="83">
        <v>272.01</v>
      </c>
      <c r="H20" s="19">
        <f>($E20-$G20)/$G20 * 100</f>
        <v>2.1469798904452162</v>
      </c>
      <c r="I20" s="75">
        <f>($F20-$G20)/$G20 * 100</f>
        <v>1.4190654755339929</v>
      </c>
    </row>
    <row r="21" spans="3:9">
      <c r="C21" s="209"/>
      <c r="D21" s="145">
        <v>5</v>
      </c>
      <c r="E21" s="16">
        <v>240.57</v>
      </c>
      <c r="F21" s="17">
        <v>239.86</v>
      </c>
      <c r="G21" s="85">
        <v>236.62</v>
      </c>
      <c r="H21" s="20">
        <f>($E21-$G21)/$G21 * 100</f>
        <v>1.6693432507818395</v>
      </c>
      <c r="I21" s="18">
        <f>($F21-$G21)/$G21 * 100</f>
        <v>1.3692840841856178</v>
      </c>
    </row>
    <row r="22" spans="3:9">
      <c r="E22" s="71"/>
      <c r="F22" s="72"/>
      <c r="G22" s="72"/>
      <c r="H22" s="32"/>
      <c r="I22" s="72"/>
    </row>
    <row r="23" spans="3:9">
      <c r="C23" s="79"/>
      <c r="D23" t="s">
        <v>90</v>
      </c>
      <c r="E23" s="71"/>
      <c r="F23" s="72"/>
      <c r="G23" s="72"/>
      <c r="H23" s="32"/>
      <c r="I23" s="72"/>
    </row>
    <row r="24" spans="3:9">
      <c r="C24" s="67"/>
      <c r="D24" t="s">
        <v>91</v>
      </c>
      <c r="E24" s="71"/>
      <c r="F24" s="72"/>
      <c r="G24" s="72"/>
      <c r="H24" s="32"/>
      <c r="I24" s="72"/>
    </row>
    <row r="25" spans="3:9">
      <c r="C25" s="80"/>
      <c r="D25" t="s">
        <v>92</v>
      </c>
    </row>
    <row r="26" spans="3:9" ht="15" customHeight="1"/>
  </sheetData>
  <mergeCells count="7">
    <mergeCell ref="C12:C16"/>
    <mergeCell ref="C17:C21"/>
    <mergeCell ref="E5:G5"/>
    <mergeCell ref="H5:I5"/>
    <mergeCell ref="C5:C6"/>
    <mergeCell ref="D5:D6"/>
    <mergeCell ref="C7:C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B1987-BEB2-4A64-914E-43D4464ACA27}">
  <dimension ref="A1:I18"/>
  <sheetViews>
    <sheetView workbookViewId="0">
      <selection activeCell="N12" sqref="N12"/>
    </sheetView>
  </sheetViews>
  <sheetFormatPr defaultRowHeight="14.45"/>
  <cols>
    <col min="1" max="1" width="18.5703125" customWidth="1"/>
    <col min="2" max="12" width="11.28515625" customWidth="1"/>
  </cols>
  <sheetData>
    <row r="1" spans="1:9" ht="15" thickBot="1"/>
    <row r="2" spans="1:9" ht="15" thickBot="1">
      <c r="B2" s="215" t="s">
        <v>97</v>
      </c>
      <c r="C2" s="216"/>
      <c r="D2" s="217"/>
    </row>
    <row r="3" spans="1:9" ht="15" thickBot="1">
      <c r="B3" s="4" t="s">
        <v>66</v>
      </c>
      <c r="C3" s="8" t="s">
        <v>98</v>
      </c>
      <c r="D3" s="9" t="s">
        <v>99</v>
      </c>
    </row>
    <row r="4" spans="1:9">
      <c r="A4" s="1" t="s">
        <v>12</v>
      </c>
      <c r="B4" s="5">
        <v>184.27</v>
      </c>
      <c r="C4" s="10">
        <v>6.55</v>
      </c>
      <c r="D4" s="11">
        <v>0.16</v>
      </c>
    </row>
    <row r="5" spans="1:9">
      <c r="A5" s="2" t="s">
        <v>13</v>
      </c>
      <c r="B5" s="6">
        <v>209.25</v>
      </c>
      <c r="C5" s="12">
        <v>14.44</v>
      </c>
      <c r="D5" s="13">
        <v>0.16700000000000001</v>
      </c>
    </row>
    <row r="6" spans="1:9" ht="15" thickBot="1">
      <c r="A6" s="3" t="s">
        <v>14</v>
      </c>
      <c r="B6" s="7">
        <v>240.57</v>
      </c>
      <c r="C6" s="14">
        <v>3.97</v>
      </c>
      <c r="D6" s="15">
        <v>0.17699999999999999</v>
      </c>
    </row>
    <row r="7" spans="1:9" ht="15" thickBot="1"/>
    <row r="8" spans="1:9" ht="15" thickBot="1">
      <c r="B8" s="215" t="s">
        <v>100</v>
      </c>
      <c r="C8" s="216"/>
      <c r="D8" s="216"/>
      <c r="E8" s="217"/>
      <c r="F8" s="215" t="s">
        <v>100</v>
      </c>
      <c r="G8" s="216"/>
      <c r="H8" s="216"/>
      <c r="I8" s="217"/>
    </row>
    <row r="9" spans="1:9" ht="15" thickBot="1">
      <c r="B9" s="4" t="s">
        <v>66</v>
      </c>
      <c r="C9" s="8" t="s">
        <v>98</v>
      </c>
      <c r="D9" s="9" t="s">
        <v>99</v>
      </c>
      <c r="E9" s="9" t="s">
        <v>101</v>
      </c>
      <c r="F9" s="4" t="s">
        <v>66</v>
      </c>
      <c r="G9" s="8" t="s">
        <v>98</v>
      </c>
      <c r="H9" s="9" t="s">
        <v>99</v>
      </c>
      <c r="I9" s="9" t="s">
        <v>101</v>
      </c>
    </row>
    <row r="10" spans="1:9">
      <c r="A10" s="1" t="s">
        <v>12</v>
      </c>
      <c r="B10" s="5">
        <v>118.13</v>
      </c>
      <c r="C10" s="10">
        <v>6.39</v>
      </c>
      <c r="D10" s="10">
        <v>0.14499999999999999</v>
      </c>
      <c r="E10" s="11">
        <v>27.33</v>
      </c>
      <c r="F10" s="5">
        <v>118.17</v>
      </c>
      <c r="G10" s="10">
        <v>5.3</v>
      </c>
      <c r="H10" s="10">
        <v>0.14499999999999999</v>
      </c>
      <c r="I10" s="11">
        <v>17.059999999999999</v>
      </c>
    </row>
    <row r="11" spans="1:9">
      <c r="A11" s="2" t="s">
        <v>13</v>
      </c>
      <c r="B11" s="6">
        <v>173.7</v>
      </c>
      <c r="C11" s="12">
        <v>15.72</v>
      </c>
      <c r="D11" s="12">
        <v>0.157</v>
      </c>
      <c r="E11" s="13">
        <v>41.1</v>
      </c>
      <c r="F11" s="6">
        <v>173.44</v>
      </c>
      <c r="G11" s="12">
        <v>13.78</v>
      </c>
      <c r="H11" s="12">
        <v>0.16700000000000001</v>
      </c>
      <c r="I11" s="13">
        <v>25.9</v>
      </c>
    </row>
    <row r="12" spans="1:9" ht="15" thickBot="1">
      <c r="A12" s="3" t="s">
        <v>14</v>
      </c>
      <c r="B12" s="7">
        <v>239.8</v>
      </c>
      <c r="C12" s="14">
        <v>12.77</v>
      </c>
      <c r="D12" s="14">
        <v>0.17599999999999999</v>
      </c>
      <c r="E12" s="15">
        <v>134.87</v>
      </c>
      <c r="F12" s="7">
        <v>239.8</v>
      </c>
      <c r="G12" s="14">
        <v>10.220000000000001</v>
      </c>
      <c r="H12" s="14">
        <v>0.17599999999999999</v>
      </c>
      <c r="I12" s="15">
        <v>79.132999999999996</v>
      </c>
    </row>
    <row r="13" spans="1:9" ht="15" thickBot="1"/>
    <row r="14" spans="1:9" ht="15" thickBot="1">
      <c r="B14" s="215" t="s">
        <v>102</v>
      </c>
      <c r="C14" s="216"/>
      <c r="D14" s="217"/>
    </row>
    <row r="15" spans="1:9" ht="15" thickBot="1">
      <c r="B15" s="4" t="s">
        <v>66</v>
      </c>
      <c r="C15" s="8" t="s">
        <v>98</v>
      </c>
      <c r="D15" s="9" t="s">
        <v>99</v>
      </c>
    </row>
    <row r="16" spans="1:9">
      <c r="A16" s="1" t="s">
        <v>12</v>
      </c>
      <c r="B16" s="5"/>
      <c r="C16" s="10"/>
      <c r="D16" s="11"/>
    </row>
    <row r="17" spans="1:4">
      <c r="A17" s="2" t="s">
        <v>13</v>
      </c>
      <c r="B17" s="6"/>
      <c r="C17" s="12"/>
      <c r="D17" s="13"/>
    </row>
    <row r="18" spans="1:4" ht="15" thickBot="1">
      <c r="A18" s="3" t="s">
        <v>14</v>
      </c>
      <c r="B18" s="7"/>
      <c r="C18" s="14"/>
      <c r="D18" s="15"/>
    </row>
  </sheetData>
  <mergeCells count="4">
    <mergeCell ref="B8:E8"/>
    <mergeCell ref="B2:D2"/>
    <mergeCell ref="F8:I8"/>
    <mergeCell ref="B14:D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Lone Meertens</dc:creator>
  <cp:keywords/>
  <dc:description/>
  <cp:lastModifiedBy>Lone Meertens</cp:lastModifiedBy>
  <cp:revision/>
  <dcterms:created xsi:type="dcterms:W3CDTF">2024-06-21T13:15:22Z</dcterms:created>
  <dcterms:modified xsi:type="dcterms:W3CDTF">2024-07-07T15:21:35Z</dcterms:modified>
  <cp:category/>
  <cp:contentStatus/>
</cp:coreProperties>
</file>